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DROFFICE\Desktop\"/>
    </mc:Choice>
  </mc:AlternateContent>
  <xr:revisionPtr revIDLastSave="0" documentId="8_{297F7393-9C8E-474B-B93D-E87E1110BF6A}" xr6:coauthVersionLast="47" xr6:coauthVersionMax="47" xr10:uidLastSave="{00000000-0000-0000-0000-000000000000}"/>
  <bookViews>
    <workbookView xWindow="1560" yWindow="1380" windowWidth="15465" windowHeight="14820" xr2:uid="{00000000-000D-0000-FFFF-FFFF00000000}"/>
  </bookViews>
  <sheets>
    <sheet name="Expense" sheetId="1" r:id="rId1"/>
    <sheet name="Revenu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5" i="1" l="1"/>
  <c r="L3" i="2"/>
  <c r="O47" i="1" l="1"/>
  <c r="L43" i="1"/>
  <c r="L42" i="1"/>
  <c r="M42" i="1"/>
  <c r="Q42" i="1" l="1"/>
  <c r="L22" i="2"/>
  <c r="K26" i="1"/>
  <c r="K31" i="1" s="1"/>
  <c r="K20" i="1"/>
  <c r="L37" i="1"/>
  <c r="L9" i="1" s="1"/>
  <c r="I17" i="2"/>
  <c r="M48" i="1"/>
  <c r="M49" i="1"/>
  <c r="Q48" i="1"/>
  <c r="Q47" i="1"/>
  <c r="Q46" i="1"/>
  <c r="Q43" i="1"/>
  <c r="Q44" i="1"/>
  <c r="Q45" i="1"/>
  <c r="N46" i="1"/>
  <c r="O46" i="1"/>
  <c r="M46" i="1"/>
  <c r="N48" i="1"/>
  <c r="N47" i="1"/>
  <c r="N43" i="1"/>
  <c r="O43" i="1"/>
  <c r="O44" i="1"/>
  <c r="O45" i="1"/>
  <c r="O42" i="1"/>
  <c r="M44" i="1"/>
  <c r="M45" i="1"/>
  <c r="R45" i="1"/>
  <c r="N45" i="1"/>
  <c r="N44" i="1"/>
  <c r="N42" i="1"/>
  <c r="S48" i="1"/>
  <c r="M47" i="1"/>
  <c r="L46" i="1"/>
  <c r="R44" i="1"/>
  <c r="L44" i="1"/>
  <c r="S44" i="1"/>
  <c r="S45" i="1"/>
  <c r="L45" i="1"/>
  <c r="R42" i="1"/>
  <c r="L49" i="1" s="1"/>
  <c r="L50" i="1" s="1"/>
  <c r="L3" i="1" s="1"/>
  <c r="S42" i="1"/>
  <c r="R48" i="1"/>
  <c r="L48" i="1"/>
  <c r="S47" i="1"/>
  <c r="R47" i="1"/>
  <c r="R46" i="1"/>
  <c r="S46" i="1"/>
  <c r="M43" i="1"/>
  <c r="N49" i="1"/>
  <c r="I18" i="1"/>
  <c r="I21" i="1"/>
  <c r="I4" i="1"/>
  <c r="L4" i="2"/>
  <c r="L5" i="2"/>
  <c r="L6" i="2"/>
  <c r="L7" i="2"/>
  <c r="L47" i="1"/>
  <c r="R43" i="1"/>
  <c r="S43" i="1"/>
  <c r="L14" i="2"/>
  <c r="L11" i="1"/>
  <c r="L14" i="1"/>
  <c r="L22" i="1"/>
  <c r="L23" i="1"/>
  <c r="L25" i="1"/>
  <c r="L26" i="1"/>
  <c r="L10" i="1"/>
  <c r="L5" i="1"/>
  <c r="L6" i="1"/>
  <c r="L8" i="1"/>
  <c r="M31" i="1"/>
  <c r="M22" i="2"/>
  <c r="K22" i="2"/>
  <c r="F22" i="2"/>
  <c r="J22" i="2"/>
  <c r="J31" i="1"/>
  <c r="I31" i="1"/>
  <c r="I22" i="2"/>
  <c r="H22" i="2"/>
  <c r="H31" i="1"/>
  <c r="G22" i="2"/>
  <c r="G31" i="1"/>
  <c r="F31" i="1"/>
  <c r="E22" i="2"/>
  <c r="E31" i="1"/>
  <c r="D31" i="1"/>
  <c r="D22" i="2"/>
  <c r="C22" i="2"/>
  <c r="C31" i="1"/>
  <c r="B31" i="1"/>
  <c r="B22" i="2"/>
  <c r="L3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tc={C78ABCC1-3C78-47D8-B2B7-A69646E68DB2}</author>
    <author>tc={7CCC13D8-203F-46D3-B37F-AB2315868AEE}</author>
    <author>tc={B0B83914-670C-448F-9A2E-341BD411BFEB}</author>
    <author>tc={751DDDFB-F9F2-48D4-AE37-5D4B12ACC9CF}</author>
    <author>tc={A428A696-D743-4647-AF11-4FEC65EB5375}</author>
    <author>tc={E2F7ABDD-913C-40CA-9955-701D0F79CB3D}</author>
    <author>tc={CAF4967F-4100-4047-B0CB-284A1DAA9246}</author>
    <author>tc={AC4D6272-04AD-4ED9-A284-FEA46508867B}</author>
    <author>tc={18F7463D-6359-458A-8BFE-AF8209271287}</author>
    <author>tc={B74D3C10-C869-40FE-AB90-29FC3C965B6F}</author>
    <author>tc={89B380F6-6738-4B79-BEBA-D8482349775C}</author>
    <author>tc={73496478-98D8-409C-8F8A-170CEC9C9880}</author>
    <author>tc={3137BD19-E201-4ADC-9BE0-06F287451005}</author>
    <author>tc={ECDBBD58-DC3C-4D00-85C9-624DEAC03949}</author>
    <author>tc={DD0B001A-FCCF-4080-B2D3-E5F2636C37F6}</author>
    <author>tc={5284DF97-F778-4DF7-8078-6D0CAE1EDFDE}</author>
    <author>tc={9B76B82B-4C55-413F-B74E-3F1F9D594552}</author>
    <author>tc={83D97E1A-85DE-4990-BBF3-8F2D01A88C9A}</author>
  </authors>
  <commentList>
    <comment ref="L3" authorId="0" shapeId="0" xr:uid="{C78ABCC1-3C78-47D8-B2B7-A69646E68DB2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Salaries, benefits and RRSP for CDSS staff. Additional staff costs, inflationary increases considered for 2021 and beyond</t>
        </r>
      </text>
    </comment>
    <comment ref="L4" authorId="1" shapeId="0" xr:uid="{7CCC13D8-203F-46D3-B37F-AB2315868AEE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Moneris, Visa and Mastercard Merchant Fees</t>
        </r>
      </text>
    </comment>
    <comment ref="L5" authorId="2" shapeId="0" xr:uid="{B0B83914-670C-448F-9A2E-341BD411BFEB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All council  expenditures, includes council meetings, honouriums and per diems.</t>
        </r>
      </text>
    </comment>
    <comment ref="L7" authorId="3" shapeId="0" xr:uid="{751DDDFB-F9F2-48D4-AE37-5D4B12ACC9CF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Traditionally included travel, accomadations, council per diems for non-council meetings.</t>
        </r>
      </text>
    </comment>
    <comment ref="L9" authorId="4" shapeId="0" xr:uid="{A428A696-D743-4647-AF11-4FEC65EB5375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Rent for CDSS Office. Lease renewal upcoming July 2023</t>
        </r>
      </text>
    </comment>
    <comment ref="L10" authorId="5" shapeId="0" xr:uid="{E2F7ABDD-913C-40CA-9955-701D0F79CB3D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Expenditures for legal counsel</t>
        </r>
      </text>
    </comment>
    <comment ref="L12" authorId="6" shapeId="0" xr:uid="{CAF4967F-4100-4047-B0CB-284A1DAA9246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Cost for telecommunication services</t>
        </r>
      </text>
    </comment>
    <comment ref="L13" authorId="7" shapeId="0" xr:uid="{AC4D6272-04AD-4ED9-A284-FEA46508867B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Impact Economists (RKH)</t>
        </r>
      </text>
    </comment>
    <comment ref="L14" authorId="8" shapeId="0" xr:uid="{18F7463D-6359-458A-8BFE-AF8209271287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Office supplies, stationary, etc</t>
        </r>
      </text>
    </comment>
    <comment ref="L15" authorId="9" shapeId="0" xr:uid="{B74D3C10-C869-40FE-AB90-29FC3C965B6F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IT, Scanners, Copiers, Xerox and Postage Meter lease</t>
        </r>
      </text>
    </comment>
    <comment ref="L16" authorId="10" shapeId="0" xr:uid="{89B380F6-6738-4B79-BEBA-D8482349775C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Auditor, MNP Book Keeping</t>
        </r>
      </text>
    </comment>
    <comment ref="L17" authorId="11" shapeId="0" xr:uid="{73496478-98D8-409C-8F8A-170CEC9C9880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Courier, Postage costs</t>
        </r>
      </text>
    </comment>
    <comment ref="L18" authorId="12" shapeId="0" xr:uid="{3137BD19-E201-4ADC-9BE0-06F287451005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Newsletters, Fee Guides, Election, etc</t>
        </r>
      </text>
    </comment>
    <comment ref="L19" authorId="13" shapeId="0" xr:uid="{ECDBBD58-DC3C-4D00-85C9-624DEAC03949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Oral Health Promotion (bring more back in house)</t>
        </r>
      </text>
    </comment>
    <comment ref="L20" authorId="14" shapeId="0" xr:uid="{DD0B001A-FCCF-4080-B2D3-E5F2636C37F6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Physical Office, Cyber and Council (D&amp;O insurance) policy with HIROC</t>
        </r>
      </text>
    </comment>
    <comment ref="L21" authorId="15" shapeId="0" xr:uid="{5284DF97-F778-4DF7-8078-6D0CAE1EDFDE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Sponsorships for conferences</t>
        </r>
      </text>
    </comment>
    <comment ref="L26" authorId="16" shapeId="0" xr:uid="{9B76B82B-4C55-413F-B74E-3F1F9D594552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Team Assistance Program, Government Relations</t>
        </r>
      </text>
    </comment>
    <comment ref="L27" authorId="17" shapeId="0" xr:uid="{83D97E1A-85DE-4990-BBF3-8F2D01A88C9A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CDA, CDRAF, CDAC Membership Fees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tc={A72200AB-BB6D-4EDA-9F78-81D7178680FA}</author>
    <author>tc={D30072DC-19FD-446E-88D0-A034DACA75AE}</author>
    <author>tc={C0579CF8-1278-461C-B52F-3DCDAE71094E}</author>
    <author>tc={73D7E5DB-B81F-49CB-AE4F-496C117A0DA1}</author>
    <author>tc={3CF4587B-7D45-4DB3-BD93-5C1B09E3B285}</author>
    <author>tc={951ACAE2-EB17-4853-B7ED-A60B62E2325B}</author>
    <author>tc={2CC0150E-4BCB-4160-A757-6DF824263040}</author>
    <author>tc={7DBA2B00-8F20-40C9-B8AC-8D67A3D473E1}</author>
    <author>tc={299B510A-9BF1-4CFE-87AE-832E5E97AC70}</author>
    <author>tc={284C8B04-4DDC-4177-8AB6-34A0309B74EA}</author>
    <author>tc={1FCBD39A-3526-456D-AB1D-2965352903F0}</author>
    <author>tc={3084B8AE-7EC9-4F27-BCAA-DB7150770B00}</author>
  </authors>
  <commentList>
    <comment ref="L3" authorId="0" shapeId="0" xr:uid="{A72200AB-BB6D-4EDA-9F78-81D7178680FA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Annual CDSS License Fees</t>
        </r>
      </text>
    </comment>
    <comment ref="L4" authorId="1" shapeId="0" xr:uid="{D30072DC-19FD-446E-88D0-A034DACA75AE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Registration Fees for New Applicants</t>
        </r>
      </text>
    </comment>
    <comment ref="L5" authorId="2" shapeId="0" xr:uid="{C0579CF8-1278-461C-B52F-3DCDAE71094E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Professional Corporation Permit Renewals</t>
        </r>
      </text>
    </comment>
    <comment ref="L6" authorId="3" shapeId="0" xr:uid="{73D7E5DB-B81F-49CB-AE4F-496C117A0DA1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Corporate Fees for New Applicants</t>
        </r>
      </text>
    </comment>
    <comment ref="L7" authorId="4" shapeId="0" xr:uid="{3CF4587B-7D45-4DB3-BD93-5C1B09E3B285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Fee Guide Income from 3rd Party Insurers (Great West, Canada Life, SGI, etc)</t>
        </r>
      </text>
    </comment>
    <comment ref="L10" authorId="5" shapeId="0" xr:uid="{951ACAE2-EB17-4853-B7ED-A60B62E2325B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Revenue for QA Binders on behalf of SK Health</t>
        </r>
      </text>
    </comment>
    <comment ref="L12" authorId="6" shapeId="0" xr:uid="{2CC0150E-4BCB-4160-A757-6DF824263040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Funds recieved/distributed for PCC cases</t>
        </r>
      </text>
    </comment>
    <comment ref="L14" authorId="7" shapeId="0" xr:uid="{7DBA2B00-8F20-40C9-B8AC-8D67A3D473E1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3rd Party CDSS Sponsors, CDSPI, Banks</t>
        </r>
      </text>
    </comment>
    <comment ref="L16" authorId="8" shapeId="0" xr:uid="{299B510A-9BF1-4CFE-87AE-832E5E97AC70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Interest accumulation on 'cash' accounts</t>
        </r>
      </text>
    </comment>
    <comment ref="L17" authorId="9" shapeId="0" xr:uid="{284C8B04-4DDC-4177-8AB6-34A0309B74EA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Interest accumulation on 'non-cash' investments</t>
        </r>
      </text>
    </comment>
    <comment ref="L20" authorId="10" shapeId="0" xr:uid="{1FCBD39A-3526-456D-AB1D-2965352903F0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PCC/DISC penalties</t>
        </r>
      </text>
    </comment>
    <comment ref="L22" authorId="11" shapeId="0" xr:uid="{3084B8AE-7EC9-4F27-BCAA-DB7150770B00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Approx $60,000 Surplus Projected for 2022</t>
        </r>
      </text>
    </comment>
  </commentList>
</comments>
</file>

<file path=xl/sharedStrings.xml><?xml version="1.0" encoding="utf-8"?>
<sst xmlns="http://schemas.openxmlformats.org/spreadsheetml/2006/main" count="95" uniqueCount="92">
  <si>
    <t>Budget 2017 Expense</t>
  </si>
  <si>
    <t>EXPENSE</t>
  </si>
  <si>
    <t>Salaries and Benefits</t>
  </si>
  <si>
    <t>Council Meetings</t>
  </si>
  <si>
    <t>Council Meetings (per diems)</t>
  </si>
  <si>
    <t>Other Meetings</t>
  </si>
  <si>
    <t>Other Meetings (per diems)</t>
  </si>
  <si>
    <t>Rent</t>
  </si>
  <si>
    <t>Legal</t>
  </si>
  <si>
    <t>Mediation Legal Expense</t>
  </si>
  <si>
    <t xml:space="preserve">Telephone </t>
  </si>
  <si>
    <t>Office Supplies</t>
  </si>
  <si>
    <t>Office Equipment/Lease/Pur.</t>
  </si>
  <si>
    <t>Professional Fees/Auditor</t>
  </si>
  <si>
    <t>Printing</t>
  </si>
  <si>
    <t>Communications</t>
  </si>
  <si>
    <t>Insurance</t>
  </si>
  <si>
    <t>Sponsorship</t>
  </si>
  <si>
    <t>Conference Expense</t>
  </si>
  <si>
    <t>Miscellaneous</t>
  </si>
  <si>
    <t>Subscriptions</t>
  </si>
  <si>
    <t>Radiation Safety Binders</t>
  </si>
  <si>
    <t>Other Consultants</t>
  </si>
  <si>
    <t>Grants</t>
  </si>
  <si>
    <t>Amortization</t>
  </si>
  <si>
    <t>Professional Development</t>
  </si>
  <si>
    <t>Total EXPENSE</t>
  </si>
  <si>
    <t>Budget 2017 Revenue</t>
  </si>
  <si>
    <t>REVENUE</t>
  </si>
  <si>
    <t>Annual License Fees</t>
  </si>
  <si>
    <t>Registration Fees</t>
  </si>
  <si>
    <t>Corporate Permits</t>
  </si>
  <si>
    <t>Corporate Fees</t>
  </si>
  <si>
    <t>Fee Guides</t>
  </si>
  <si>
    <t>Annual Register</t>
  </si>
  <si>
    <t>Radiation QA Binders</t>
  </si>
  <si>
    <t>Mediation/Legal Recovery</t>
  </si>
  <si>
    <t>CDA Rebates</t>
  </si>
  <si>
    <t>Other Meeting Recovery</t>
  </si>
  <si>
    <t>Interest on Bank Account</t>
  </si>
  <si>
    <t>Investment Interest and Dividends</t>
  </si>
  <si>
    <t>Scientific Session Recovery</t>
  </si>
  <si>
    <t>Overpayment/Refund</t>
  </si>
  <si>
    <t>Total REVENUE</t>
  </si>
  <si>
    <t>Budget 2018 Revenue</t>
  </si>
  <si>
    <t>Budget 2018 Expense</t>
  </si>
  <si>
    <t>Courier/Postage</t>
  </si>
  <si>
    <t>Bank Charges/Fees</t>
  </si>
  <si>
    <t>Budget 2019 Expense</t>
  </si>
  <si>
    <t>Budget 2019 Revenue</t>
  </si>
  <si>
    <t>Budget 2020 Expense</t>
  </si>
  <si>
    <t>Sponsorship(pub relations)</t>
  </si>
  <si>
    <t>Budget 2020 Revenue</t>
  </si>
  <si>
    <t>Consultants</t>
  </si>
  <si>
    <t>Budget 2021 Expense</t>
  </si>
  <si>
    <t>Budget 2021 Revenue</t>
  </si>
  <si>
    <t>Actual 2017 Expense (Audited)</t>
  </si>
  <si>
    <t>Actual 2018 Expense (Audited)</t>
  </si>
  <si>
    <t>Actual 2019 Expense (Audited)</t>
  </si>
  <si>
    <t xml:space="preserve"> 2017 Actual Revenue (Audited)</t>
  </si>
  <si>
    <t>2018 Actual Revenue (Audited)</t>
  </si>
  <si>
    <t>2019 Actual Revenue (audited)</t>
  </si>
  <si>
    <t>Penalty &amp; Interest revenue</t>
  </si>
  <si>
    <t>Access to care donation revenue</t>
  </si>
  <si>
    <t>Schedule 1 - Rent</t>
  </si>
  <si>
    <t>Monthly estimate</t>
  </si>
  <si>
    <t>TOTAL</t>
  </si>
  <si>
    <t>Actual 2022 Expense</t>
  </si>
  <si>
    <t>Budget 2022 Expense</t>
  </si>
  <si>
    <t>Budget 2022 Revenue</t>
  </si>
  <si>
    <t>Actual 2022 Revenue</t>
  </si>
  <si>
    <t>Months</t>
  </si>
  <si>
    <t>Employee 1</t>
  </si>
  <si>
    <t>Employee 2</t>
  </si>
  <si>
    <t>Employee 3</t>
  </si>
  <si>
    <t>Employee 4</t>
  </si>
  <si>
    <t>Employee 5</t>
  </si>
  <si>
    <t>Employee 6</t>
  </si>
  <si>
    <t>Employee 7</t>
  </si>
  <si>
    <t>Wage</t>
  </si>
  <si>
    <t>Schedule 2 - Salaries (Salary, CPP, EI, Pension, health spending allowance, medical benefits</t>
  </si>
  <si>
    <t>Est. T4</t>
  </si>
  <si>
    <t>Health 
spending</t>
  </si>
  <si>
    <t>Health
Benefits</t>
  </si>
  <si>
    <t>CPP (ER)</t>
  </si>
  <si>
    <t>EI (ER)</t>
  </si>
  <si>
    <t>TOTAL ROUNDED</t>
  </si>
  <si>
    <t xml:space="preserve">Actual 2020 Expense </t>
  </si>
  <si>
    <t>Retirement</t>
  </si>
  <si>
    <t>Actual 2020 Revenue (audited)</t>
  </si>
  <si>
    <t>Actual 2021 Revenue 
(Sept 30) (unaudited)</t>
  </si>
  <si>
    <t>Actual 2021 Expense 
(Sept 30) (unaudited)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</si>
</sst>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$-409]* #,##0.00_ ;_-[$$-409]* \-#,##0.00\ ;_-[$$-409]* &quot;-&quot;??_ ;_-@_ "/>
    <numFmt numFmtId="167" formatCode="_(&quot;$&quot;* #,##0_);_(&quot;$&quot;* \(#,##0\);_(&quot;$&quot;* &quot;-&quot;??_);_(@_)"/>
    <numFmt numFmtId="168" formatCode="_(* #,##0_);_(* \(#,##0\);_(* &quot;-&quot;??_);_(@_)"/>
    <numFmt numFmtId="169" formatCode="_([$$-409]* #,##0.00_);_([$$-409]* \(#,##0.00\);_([$$-409]* &quot;-&quot;??_);_(@_)"/>
    <numFmt numFmtId="170" formatCode="#,##0.00\ ;\-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3">
    <xf numFmtId="0" fontId="0" fillId="0" borderId="0" xfId="0"/>
    <xf numFmtId="164" fontId="0" fillId="0" borderId="0" xfId="1" applyFont="1"/>
    <xf numFmtId="164" fontId="0" fillId="0" borderId="0" xfId="0" applyNumberFormat="1"/>
    <xf numFmtId="166" fontId="0" fillId="0" borderId="0" xfId="0" applyNumberFormat="1"/>
    <xf numFmtId="44" fontId="0" fillId="0" borderId="0" xfId="0" applyNumberFormat="1"/>
    <xf numFmtId="166" fontId="0" fillId="0" borderId="0" xfId="0" applyNumberFormat="1" applyFill="1"/>
    <xf numFmtId="0" fontId="0" fillId="0" borderId="0" xfId="0" applyFill="1"/>
    <xf numFmtId="164" fontId="0" fillId="0" borderId="0" xfId="1" applyFont="1" applyFill="1"/>
    <xf numFmtId="167" fontId="0" fillId="0" borderId="0" xfId="1" applyNumberFormat="1" applyFont="1" applyFill="1"/>
    <xf numFmtId="167" fontId="0" fillId="0" borderId="0" xfId="0" applyNumberFormat="1" applyFill="1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/>
    <xf numFmtId="166" fontId="2" fillId="0" borderId="0" xfId="0" applyNumberFormat="1" applyFont="1"/>
    <xf numFmtId="164" fontId="2" fillId="0" borderId="0" xfId="1" applyFont="1"/>
    <xf numFmtId="166" fontId="2" fillId="0" borderId="0" xfId="0" applyNumberFormat="1" applyFont="1" applyFill="1"/>
    <xf numFmtId="167" fontId="2" fillId="0" borderId="0" xfId="0" applyNumberFormat="1" applyFont="1" applyFill="1"/>
    <xf numFmtId="164" fontId="2" fillId="0" borderId="0" xfId="0" applyNumberFormat="1" applyFont="1" applyFill="1"/>
    <xf numFmtId="0" fontId="0" fillId="0" borderId="1" xfId="0" applyBorder="1"/>
    <xf numFmtId="166" fontId="0" fillId="0" borderId="1" xfId="0" applyNumberFormat="1" applyBorder="1"/>
    <xf numFmtId="164" fontId="0" fillId="0" borderId="1" xfId="1" applyFont="1" applyBorder="1"/>
    <xf numFmtId="0" fontId="0" fillId="0" borderId="1" xfId="0" applyFill="1" applyBorder="1"/>
    <xf numFmtId="167" fontId="0" fillId="0" borderId="1" xfId="0" applyNumberFormat="1" applyFill="1" applyBorder="1"/>
    <xf numFmtId="0" fontId="2" fillId="0" borderId="0" xfId="0" applyFont="1" applyFill="1"/>
    <xf numFmtId="166" fontId="0" fillId="0" borderId="1" xfId="0" applyNumberFormat="1" applyFill="1" applyBorder="1"/>
    <xf numFmtId="167" fontId="0" fillId="0" borderId="0" xfId="0" applyNumberFormat="1"/>
    <xf numFmtId="0" fontId="0" fillId="0" borderId="0" xfId="0" applyFont="1"/>
    <xf numFmtId="168" fontId="0" fillId="0" borderId="0" xfId="2" applyNumberFormat="1" applyFont="1"/>
    <xf numFmtId="168" fontId="0" fillId="0" borderId="0" xfId="2" applyNumberFormat="1" applyFont="1" applyFill="1"/>
    <xf numFmtId="168" fontId="0" fillId="0" borderId="0" xfId="2" applyNumberFormat="1" applyFont="1" applyBorder="1"/>
    <xf numFmtId="168" fontId="0" fillId="0" borderId="1" xfId="2" applyNumberFormat="1" applyFont="1" applyBorder="1"/>
    <xf numFmtId="168" fontId="0" fillId="0" borderId="0" xfId="0" applyNumberFormat="1"/>
    <xf numFmtId="168" fontId="2" fillId="0" borderId="0" xfId="0" applyNumberFormat="1" applyFont="1"/>
    <xf numFmtId="169" fontId="0" fillId="0" borderId="0" xfId="0" applyNumberFormat="1"/>
    <xf numFmtId="0" fontId="2" fillId="0" borderId="0" xfId="0" applyFont="1" applyFill="1" applyAlignment="1">
      <alignment wrapText="1"/>
    </xf>
    <xf numFmtId="165" fontId="0" fillId="0" borderId="0" xfId="2" applyFont="1"/>
    <xf numFmtId="164" fontId="2" fillId="0" borderId="0" xfId="1" applyFont="1" applyFill="1"/>
    <xf numFmtId="170" fontId="4" fillId="0" borderId="0" xfId="0" applyNumberFormat="1" applyFont="1" applyAlignment="1">
      <alignment horizontal="right"/>
    </xf>
    <xf numFmtId="164" fontId="0" fillId="0" borderId="1" xfId="1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erod Orb" id="{8F564085-A2BB-4A90-8E20-1F7A2930A0B3}" userId="Jerod Orb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3" dT="2021-10-13T17:35:39.26" personId="{8F564085-A2BB-4A90-8E20-1F7A2930A0B3}" id="{C78ABCC1-3C78-47D8-B2B7-A69646E68DB2}">
    <text>Salaries, benefits and RRSP for CDSS staff. Additional staff costs, inflationary increases considered for 2021 and beyond</text>
  </threadedComment>
  <threadedComment ref="L4" dT="2021-10-13T17:36:47.34" personId="{8F564085-A2BB-4A90-8E20-1F7A2930A0B3}" id="{7CCC13D8-203F-46D3-B37F-AB2315868AEE}">
    <text>Moneris, Visa and Mastercard Merchant Fees</text>
  </threadedComment>
  <threadedComment ref="L5" dT="2021-10-13T17:39:03.94" personId="{8F564085-A2BB-4A90-8E20-1F7A2930A0B3}" id="{B0B83914-670C-448F-9A2E-341BD411BFEB}">
    <text>All council  expenditures, includes council meetings, honouriums and per diems.</text>
  </threadedComment>
  <threadedComment ref="L7" dT="2021-10-13T17:41:00.03" personId="{8F564085-A2BB-4A90-8E20-1F7A2930A0B3}" id="{751DDDFB-F9F2-48D4-AE37-5D4B12ACC9CF}">
    <text>Traditionally included travel, accomadations, council per diems for non-council meetings.</text>
  </threadedComment>
  <threadedComment ref="L9" dT="2021-10-13T17:41:54.40" personId="{8F564085-A2BB-4A90-8E20-1F7A2930A0B3}" id="{A428A696-D743-4647-AF11-4FEC65EB5375}">
    <text>Rent for CDSS Office. Lease renewal upcoming July 2023</text>
  </threadedComment>
  <threadedComment ref="L10" dT="2021-10-13T17:42:28.47" personId="{8F564085-A2BB-4A90-8E20-1F7A2930A0B3}" id="{E2F7ABDD-913C-40CA-9955-701D0F79CB3D}">
    <text>Expenditures for legal counsel</text>
  </threadedComment>
  <threadedComment ref="L12" dT="2021-10-13T17:43:10.92" personId="{8F564085-A2BB-4A90-8E20-1F7A2930A0B3}" id="{CAF4967F-4100-4047-B0CB-284A1DAA9246}">
    <text>Cost for telecommunication services</text>
  </threadedComment>
  <threadedComment ref="L13" dT="2021-10-13T17:44:15.64" personId="{8F564085-A2BB-4A90-8E20-1F7A2930A0B3}" id="{AC4D6272-04AD-4ED9-A284-FEA46508867B}">
    <text>Impact Economists (RKH)</text>
  </threadedComment>
  <threadedComment ref="L14" dT="2021-10-13T17:45:11.23" personId="{8F564085-A2BB-4A90-8E20-1F7A2930A0B3}" id="{18F7463D-6359-458A-8BFE-AF8209271287}">
    <text>Office supplies, stationary, etc</text>
  </threadedComment>
  <threadedComment ref="L15" dT="2021-10-13T17:46:27.66" personId="{8F564085-A2BB-4A90-8E20-1F7A2930A0B3}" id="{B74D3C10-C869-40FE-AB90-29FC3C965B6F}">
    <text>IT, Scanners, Copiers, Xerox and Postage Meter lease</text>
  </threadedComment>
  <threadedComment ref="L16" dT="2021-10-13T17:46:51.51" personId="{8F564085-A2BB-4A90-8E20-1F7A2930A0B3}" id="{89B380F6-6738-4B79-BEBA-D8482349775C}">
    <text>Auditor, MNP Book Keeping</text>
  </threadedComment>
  <threadedComment ref="L17" dT="2021-10-13T17:47:10.01" personId="{8F564085-A2BB-4A90-8E20-1F7A2930A0B3}" id="{73496478-98D8-409C-8F8A-170CEC9C9880}">
    <text>Courier, Postage costs</text>
  </threadedComment>
  <threadedComment ref="L18" dT="2021-10-13T17:51:10.61" personId="{8F564085-A2BB-4A90-8E20-1F7A2930A0B3}" id="{3137BD19-E201-4ADC-9BE0-06F287451005}">
    <text>Newsletters, Fee Guides, Election, etc</text>
  </threadedComment>
  <threadedComment ref="L19" dT="2021-10-13T17:52:04.62" personId="{8F564085-A2BB-4A90-8E20-1F7A2930A0B3}" id="{ECDBBD58-DC3C-4D00-85C9-624DEAC03949}">
    <text>Oral Health Promotion (bring more back in house)</text>
  </threadedComment>
  <threadedComment ref="L20" dT="2021-10-13T17:53:20.46" personId="{8F564085-A2BB-4A90-8E20-1F7A2930A0B3}" id="{DD0B001A-FCCF-4080-B2D3-E5F2636C37F6}">
    <text>Physical Office, Cyber and Council (D&amp;O insurance) policy with HIROC</text>
  </threadedComment>
  <threadedComment ref="L21" dT="2021-10-13T17:55:25.24" personId="{8F564085-A2BB-4A90-8E20-1F7A2930A0B3}" id="{5284DF97-F778-4DF7-8078-6D0CAE1EDFDE}">
    <text>Sponsorships for conferences</text>
  </threadedComment>
  <threadedComment ref="L26" dT="2021-10-13T17:56:23.68" personId="{8F564085-A2BB-4A90-8E20-1F7A2930A0B3}" id="{9B76B82B-4C55-413F-B74E-3F1F9D594552}">
    <text>Team Assistance Program, Government Relations</text>
  </threadedComment>
  <threadedComment ref="L27" dT="2021-10-13T17:57:01.44" personId="{8F564085-A2BB-4A90-8E20-1F7A2930A0B3}" id="{83D97E1A-85DE-4990-BBF3-8F2D01A88C9A}">
    <text>CDA, CDRAF, CDAC Membership Fees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L3" dT="2021-10-13T17:58:31.21" personId="{8F564085-A2BB-4A90-8E20-1F7A2930A0B3}" id="{A72200AB-BB6D-4EDA-9F78-81D7178680FA}">
    <text>Annual CDSS License Fees</text>
  </threadedComment>
  <threadedComment ref="L4" dT="2021-10-13T17:58:50.28" personId="{8F564085-A2BB-4A90-8E20-1F7A2930A0B3}" id="{D30072DC-19FD-446E-88D0-A034DACA75AE}">
    <text>Registration Fees for New Applicants</text>
  </threadedComment>
  <threadedComment ref="L5" dT="2021-10-13T17:59:20.07" personId="{8F564085-A2BB-4A90-8E20-1F7A2930A0B3}" id="{C0579CF8-1278-461C-B52F-3DCDAE71094E}">
    <text>Professional Corporation Permit Renewals</text>
  </threadedComment>
  <threadedComment ref="L6" dT="2021-10-13T17:59:43.97" personId="{8F564085-A2BB-4A90-8E20-1F7A2930A0B3}" id="{73D7E5DB-B81F-49CB-AE4F-496C117A0DA1}">
    <text>Corporate Fees for New Applicants</text>
  </threadedComment>
  <threadedComment ref="L7" dT="2021-10-13T18:01:00.64" personId="{8F564085-A2BB-4A90-8E20-1F7A2930A0B3}" id="{3CF4587B-7D45-4DB3-BD93-5C1B09E3B285}">
    <text>Fee Guide Income from 3rd Party Insurers (Great West, Canada Life, SGI, etc)</text>
  </threadedComment>
  <threadedComment ref="L10" dT="2021-10-13T18:02:33.34" personId="{8F564085-A2BB-4A90-8E20-1F7A2930A0B3}" id="{951ACAE2-EB17-4853-B7ED-A60B62E2325B}">
    <text>Revenue for QA Binders on behalf of SK Health</text>
  </threadedComment>
  <threadedComment ref="L12" dT="2021-10-13T18:03:05.85" personId="{8F564085-A2BB-4A90-8E20-1F7A2930A0B3}" id="{2CC0150E-4BCB-4160-A757-6DF824263040}">
    <text>Funds recieved/distributed for PCC cases</text>
  </threadedComment>
  <threadedComment ref="L14" dT="2021-10-13T18:11:40.79" personId="{8F564085-A2BB-4A90-8E20-1F7A2930A0B3}" id="{7DBA2B00-8F20-40C9-B8AC-8D67A3D473E1}">
    <text>3rd Party CDSS Sponsors, CDSPI, Banks</text>
  </threadedComment>
  <threadedComment ref="L16" dT="2021-10-13T18:04:46.97" personId="{8F564085-A2BB-4A90-8E20-1F7A2930A0B3}" id="{299B510A-9BF1-4CFE-87AE-832E5E97AC70}">
    <text>Interest accumulation on 'cash' accounts</text>
  </threadedComment>
  <threadedComment ref="L17" dT="2021-10-13T18:05:46.58" personId="{8F564085-A2BB-4A90-8E20-1F7A2930A0B3}" id="{284C8B04-4DDC-4177-8AB6-34A0309B74EA}">
    <text>Interest accumulation on 'non-cash' investments</text>
  </threadedComment>
  <threadedComment ref="L20" dT="2021-10-13T18:06:24.56" personId="{8F564085-A2BB-4A90-8E20-1F7A2930A0B3}" id="{1FCBD39A-3526-456D-AB1D-2965352903F0}">
    <text>PCC/DISC penalties</text>
  </threadedComment>
  <threadedComment ref="L22" dT="2021-10-13T18:12:32.50" personId="{8F564085-A2BB-4A90-8E20-1F7A2930A0B3}" id="{3084B8AE-7EC9-4F27-BCAA-DB7150770B00}">
    <text>Approx $60,000 Surplus Projected for 2022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0"/>
  <sheetViews>
    <sheetView tabSelected="1" workbookViewId="0">
      <pane xSplit="1" ySplit="1" topLeftCell="I5" activePane="bottomRight" state="frozen"/>
      <selection pane="topRight" activeCell="B1" sqref="B1"/>
      <selection pane="bottomLeft" activeCell="A2" sqref="A2"/>
      <selection pane="bottomRight" activeCell="O31" sqref="O31"/>
    </sheetView>
  </sheetViews>
  <sheetFormatPr defaultRowHeight="15" x14ac:dyDescent="0.25"/>
  <cols>
    <col min="1" max="1" width="30.28515625" customWidth="1"/>
    <col min="2" max="2" width="23.42578125" customWidth="1"/>
    <col min="3" max="3" width="31.85546875" customWidth="1"/>
    <col min="4" max="4" width="23.5703125" customWidth="1"/>
    <col min="5" max="5" width="30.85546875" customWidth="1"/>
    <col min="6" max="6" width="22.140625" customWidth="1"/>
    <col min="7" max="7" width="27.42578125" customWidth="1"/>
    <col min="8" max="8" width="34.7109375" customWidth="1"/>
    <col min="9" max="9" width="40.140625" customWidth="1"/>
    <col min="10" max="10" width="36.28515625" customWidth="1"/>
    <col min="11" max="11" width="21.5703125" customWidth="1"/>
    <col min="12" max="12" width="25.5703125" customWidth="1"/>
    <col min="13" max="13" width="21.140625" customWidth="1"/>
    <col min="14" max="14" width="10.5703125" bestFit="1" customWidth="1"/>
    <col min="15" max="15" width="12.5703125" bestFit="1" customWidth="1"/>
  </cols>
  <sheetData>
    <row r="1" spans="1:15" s="11" customFormat="1" ht="30" x14ac:dyDescent="0.25">
      <c r="B1" s="11" t="s">
        <v>0</v>
      </c>
      <c r="C1" s="11" t="s">
        <v>56</v>
      </c>
      <c r="D1" s="11" t="s">
        <v>45</v>
      </c>
      <c r="E1" s="11" t="s">
        <v>57</v>
      </c>
      <c r="F1" s="11" t="s">
        <v>48</v>
      </c>
      <c r="G1" s="11" t="s">
        <v>58</v>
      </c>
      <c r="H1" s="11" t="s">
        <v>50</v>
      </c>
      <c r="I1" s="24" t="s">
        <v>87</v>
      </c>
      <c r="J1" s="11" t="s">
        <v>54</v>
      </c>
      <c r="K1" s="35" t="s">
        <v>91</v>
      </c>
      <c r="L1" s="24" t="s">
        <v>68</v>
      </c>
      <c r="M1" s="12" t="s">
        <v>67</v>
      </c>
    </row>
    <row r="2" spans="1:15" x14ac:dyDescent="0.25">
      <c r="A2" t="s">
        <v>1</v>
      </c>
      <c r="E2" s="1"/>
      <c r="I2" s="6"/>
      <c r="K2" s="6"/>
      <c r="L2" s="6"/>
    </row>
    <row r="3" spans="1:15" x14ac:dyDescent="0.25">
      <c r="A3" t="s">
        <v>2</v>
      </c>
      <c r="B3" s="1">
        <v>600000</v>
      </c>
      <c r="C3" s="3">
        <v>578459</v>
      </c>
      <c r="D3" s="1">
        <v>575000</v>
      </c>
      <c r="E3" s="1">
        <v>588414</v>
      </c>
      <c r="F3" s="1">
        <v>600000</v>
      </c>
      <c r="G3" s="1">
        <v>626857</v>
      </c>
      <c r="H3" s="7">
        <v>600000</v>
      </c>
      <c r="I3" s="8">
        <v>795408</v>
      </c>
      <c r="J3" s="1">
        <v>650000</v>
      </c>
      <c r="K3" s="8">
        <v>663255.49</v>
      </c>
      <c r="L3" s="7">
        <f>L50</f>
        <v>828000</v>
      </c>
      <c r="O3" s="2"/>
    </row>
    <row r="4" spans="1:15" x14ac:dyDescent="0.25">
      <c r="A4" t="s">
        <v>47</v>
      </c>
      <c r="B4" s="1">
        <v>15000</v>
      </c>
      <c r="C4" s="3">
        <v>44919</v>
      </c>
      <c r="D4" s="1">
        <v>20000</v>
      </c>
      <c r="E4" s="1">
        <v>98512</v>
      </c>
      <c r="F4" s="1">
        <v>40000</v>
      </c>
      <c r="G4" s="1">
        <v>76185</v>
      </c>
      <c r="H4" s="7">
        <v>50000</v>
      </c>
      <c r="I4" s="8">
        <f>5664+69914</f>
        <v>75578</v>
      </c>
      <c r="J4" s="1">
        <v>50000</v>
      </c>
      <c r="K4" s="8">
        <v>15546.11</v>
      </c>
      <c r="L4" s="7">
        <v>80000</v>
      </c>
    </row>
    <row r="5" spans="1:15" x14ac:dyDescent="0.25">
      <c r="A5" t="s">
        <v>3</v>
      </c>
      <c r="B5" s="1">
        <v>50000</v>
      </c>
      <c r="C5" s="3">
        <v>85039</v>
      </c>
      <c r="D5" s="1">
        <v>40000</v>
      </c>
      <c r="E5" s="1">
        <v>93824</v>
      </c>
      <c r="F5" s="1">
        <v>40000</v>
      </c>
      <c r="G5" s="1">
        <v>210782</v>
      </c>
      <c r="H5" s="7">
        <v>80000</v>
      </c>
      <c r="I5" s="8">
        <v>109721</v>
      </c>
      <c r="J5" s="7">
        <v>200000</v>
      </c>
      <c r="K5" s="8">
        <v>82711.47</v>
      </c>
      <c r="L5" s="7">
        <f t="shared" ref="L5:L8" si="0">J5</f>
        <v>200000</v>
      </c>
    </row>
    <row r="6" spans="1:15" x14ac:dyDescent="0.25">
      <c r="A6" t="s">
        <v>4</v>
      </c>
      <c r="C6" s="3"/>
      <c r="D6" s="1">
        <v>20000</v>
      </c>
      <c r="E6" s="1"/>
      <c r="F6" s="1">
        <v>30000</v>
      </c>
      <c r="G6" s="1"/>
      <c r="H6" s="7"/>
      <c r="I6" s="8"/>
      <c r="K6" s="8">
        <v>34194.080000000002</v>
      </c>
      <c r="L6" s="7">
        <f t="shared" si="0"/>
        <v>0</v>
      </c>
    </row>
    <row r="7" spans="1:15" x14ac:dyDescent="0.25">
      <c r="A7" t="s">
        <v>5</v>
      </c>
      <c r="B7" s="1">
        <v>100000</v>
      </c>
      <c r="C7" s="3">
        <v>107563</v>
      </c>
      <c r="D7" s="1">
        <v>100000</v>
      </c>
      <c r="E7" s="1">
        <v>167040</v>
      </c>
      <c r="F7" s="1">
        <v>120000</v>
      </c>
      <c r="G7" s="1">
        <v>130707</v>
      </c>
      <c r="H7" s="7">
        <v>150000</v>
      </c>
      <c r="I7" s="8">
        <v>180418</v>
      </c>
      <c r="J7" s="7">
        <v>150000</v>
      </c>
      <c r="K7" s="8">
        <v>4615.45</v>
      </c>
      <c r="L7" s="7">
        <v>75000</v>
      </c>
    </row>
    <row r="8" spans="1:15" x14ac:dyDescent="0.25">
      <c r="A8" t="s">
        <v>6</v>
      </c>
      <c r="C8" s="3"/>
      <c r="E8" s="1"/>
      <c r="G8" s="1"/>
      <c r="H8" s="6"/>
      <c r="I8" s="8"/>
      <c r="K8" s="8">
        <v>18838.27</v>
      </c>
      <c r="L8" s="7">
        <f t="shared" si="0"/>
        <v>0</v>
      </c>
    </row>
    <row r="9" spans="1:15" x14ac:dyDescent="0.25">
      <c r="A9" t="s">
        <v>7</v>
      </c>
      <c r="B9" s="1">
        <v>110000</v>
      </c>
      <c r="C9" s="3">
        <v>118460</v>
      </c>
      <c r="D9" s="1">
        <v>120000</v>
      </c>
      <c r="E9" s="1">
        <v>122868</v>
      </c>
      <c r="F9" s="1">
        <v>120000</v>
      </c>
      <c r="G9" s="1">
        <v>126000</v>
      </c>
      <c r="H9" s="7">
        <v>120000</v>
      </c>
      <c r="I9" s="8">
        <v>134081.9</v>
      </c>
      <c r="J9" s="1">
        <v>120000</v>
      </c>
      <c r="K9" s="8">
        <v>111881.60000000001</v>
      </c>
      <c r="L9" s="7">
        <f>L37</f>
        <v>150000</v>
      </c>
    </row>
    <row r="10" spans="1:15" x14ac:dyDescent="0.25">
      <c r="A10" t="s">
        <v>8</v>
      </c>
      <c r="B10" s="1">
        <v>75000</v>
      </c>
      <c r="C10" s="3">
        <v>17455</v>
      </c>
      <c r="D10" s="1">
        <v>50000</v>
      </c>
      <c r="E10" s="1">
        <v>136023</v>
      </c>
      <c r="F10" s="1">
        <v>50000</v>
      </c>
      <c r="G10" s="1">
        <v>105281</v>
      </c>
      <c r="H10" s="7">
        <v>75000</v>
      </c>
      <c r="I10" s="8">
        <v>36958</v>
      </c>
      <c r="J10" s="1">
        <v>75000</v>
      </c>
      <c r="K10" s="8">
        <v>43095.55</v>
      </c>
      <c r="L10" s="7">
        <f>J10</f>
        <v>75000</v>
      </c>
    </row>
    <row r="11" spans="1:15" x14ac:dyDescent="0.25">
      <c r="A11" t="s">
        <v>9</v>
      </c>
      <c r="C11" s="3"/>
      <c r="E11" s="1"/>
      <c r="G11" s="1"/>
      <c r="H11" s="6"/>
      <c r="I11" s="8"/>
      <c r="J11" s="6"/>
      <c r="K11" s="8"/>
      <c r="L11" s="7">
        <f t="shared" ref="L11:L26" si="1">J11</f>
        <v>0</v>
      </c>
    </row>
    <row r="12" spans="1:15" x14ac:dyDescent="0.25">
      <c r="A12" t="s">
        <v>10</v>
      </c>
      <c r="B12" s="1">
        <v>15000</v>
      </c>
      <c r="C12" s="3">
        <v>12702</v>
      </c>
      <c r="D12" s="1">
        <v>15000</v>
      </c>
      <c r="E12" s="1">
        <v>13576</v>
      </c>
      <c r="F12" s="1">
        <v>15000</v>
      </c>
      <c r="G12" s="1">
        <v>10806</v>
      </c>
      <c r="H12" s="7">
        <v>15000</v>
      </c>
      <c r="I12" s="8">
        <v>12229.78</v>
      </c>
      <c r="J12" s="1">
        <v>10000</v>
      </c>
      <c r="K12" s="8">
        <v>8024.32</v>
      </c>
      <c r="L12" s="7">
        <v>15000</v>
      </c>
    </row>
    <row r="13" spans="1:15" x14ac:dyDescent="0.25">
      <c r="A13" t="s">
        <v>53</v>
      </c>
      <c r="B13" s="1">
        <v>170000</v>
      </c>
      <c r="C13" s="3">
        <v>171123</v>
      </c>
      <c r="D13" s="1">
        <v>170000</v>
      </c>
      <c r="E13" s="1">
        <v>214315</v>
      </c>
      <c r="F13" s="1">
        <v>170000</v>
      </c>
      <c r="G13" s="1">
        <v>214315</v>
      </c>
      <c r="H13" s="7">
        <v>170000</v>
      </c>
      <c r="I13" s="8">
        <v>209665</v>
      </c>
      <c r="J13" s="7">
        <v>180000</v>
      </c>
      <c r="K13" s="8">
        <v>157169.67000000001</v>
      </c>
      <c r="L13" s="7">
        <v>200000</v>
      </c>
    </row>
    <row r="14" spans="1:15" x14ac:dyDescent="0.25">
      <c r="A14" t="s">
        <v>11</v>
      </c>
      <c r="B14" s="1">
        <v>20000</v>
      </c>
      <c r="C14" s="3">
        <v>22058</v>
      </c>
      <c r="D14" s="1">
        <v>20000</v>
      </c>
      <c r="E14" s="1">
        <v>33486</v>
      </c>
      <c r="F14" s="1">
        <v>25000</v>
      </c>
      <c r="G14" s="1">
        <v>33486</v>
      </c>
      <c r="H14" s="7">
        <v>25000</v>
      </c>
      <c r="I14" s="8">
        <v>6367.27</v>
      </c>
      <c r="J14" s="7">
        <v>25000</v>
      </c>
      <c r="K14" s="8">
        <v>11480.78</v>
      </c>
      <c r="L14" s="7">
        <f t="shared" si="1"/>
        <v>25000</v>
      </c>
    </row>
    <row r="15" spans="1:15" x14ac:dyDescent="0.25">
      <c r="A15" t="s">
        <v>12</v>
      </c>
      <c r="B15" s="1">
        <v>120000</v>
      </c>
      <c r="C15" s="3">
        <v>100883</v>
      </c>
      <c r="D15" s="1">
        <v>120000</v>
      </c>
      <c r="E15" s="1">
        <v>129308</v>
      </c>
      <c r="F15" s="1">
        <v>100000</v>
      </c>
      <c r="G15" s="1">
        <v>100996</v>
      </c>
      <c r="H15" s="7">
        <v>100000</v>
      </c>
      <c r="I15" s="8">
        <v>158109.94</v>
      </c>
      <c r="J15" s="1">
        <v>100000</v>
      </c>
      <c r="K15" s="8">
        <v>109765.74</v>
      </c>
      <c r="L15" s="7">
        <v>140000</v>
      </c>
    </row>
    <row r="16" spans="1:15" x14ac:dyDescent="0.25">
      <c r="A16" t="s">
        <v>13</v>
      </c>
      <c r="B16" s="1">
        <v>45000</v>
      </c>
      <c r="C16" s="3">
        <v>54446</v>
      </c>
      <c r="D16" s="1">
        <v>45000</v>
      </c>
      <c r="E16" s="1">
        <v>42777</v>
      </c>
      <c r="F16" s="1">
        <v>50000</v>
      </c>
      <c r="G16" s="1">
        <v>62604</v>
      </c>
      <c r="H16" s="7">
        <v>50000</v>
      </c>
      <c r="I16" s="8">
        <v>45655.6</v>
      </c>
      <c r="J16" s="1">
        <v>50000</v>
      </c>
      <c r="K16" s="8">
        <v>38643.01</v>
      </c>
      <c r="L16" s="7">
        <v>30000</v>
      </c>
    </row>
    <row r="17" spans="1:14" x14ac:dyDescent="0.25">
      <c r="A17" t="s">
        <v>46</v>
      </c>
      <c r="B17" s="1">
        <v>13000</v>
      </c>
      <c r="C17" s="3">
        <v>12981</v>
      </c>
      <c r="D17" s="1">
        <v>15000</v>
      </c>
      <c r="E17" s="1">
        <v>8615</v>
      </c>
      <c r="F17" s="1">
        <v>15000</v>
      </c>
      <c r="G17" s="1">
        <v>7870</v>
      </c>
      <c r="H17" s="7">
        <v>15000</v>
      </c>
      <c r="I17" s="8">
        <v>9097</v>
      </c>
      <c r="J17" s="7">
        <v>7500</v>
      </c>
      <c r="K17" s="8">
        <v>6920.11</v>
      </c>
      <c r="L17" s="7">
        <v>10000</v>
      </c>
    </row>
    <row r="18" spans="1:14" x14ac:dyDescent="0.25">
      <c r="A18" t="s">
        <v>14</v>
      </c>
      <c r="B18" s="1">
        <v>10000</v>
      </c>
      <c r="C18" s="3">
        <v>17734</v>
      </c>
      <c r="D18" s="1">
        <v>15000</v>
      </c>
      <c r="E18" s="1"/>
      <c r="F18" s="1">
        <v>15000</v>
      </c>
      <c r="G18" s="1">
        <v>13875</v>
      </c>
      <c r="H18" s="7">
        <v>15000</v>
      </c>
      <c r="I18" s="8">
        <f>11790.43</f>
        <v>11790.43</v>
      </c>
      <c r="J18" s="7">
        <v>7500</v>
      </c>
      <c r="K18" s="8">
        <v>22164.19</v>
      </c>
      <c r="L18" s="7">
        <v>10000</v>
      </c>
    </row>
    <row r="19" spans="1:14" x14ac:dyDescent="0.25">
      <c r="A19" t="s">
        <v>15</v>
      </c>
      <c r="B19" s="1">
        <v>100000</v>
      </c>
      <c r="C19" s="3">
        <v>117924</v>
      </c>
      <c r="D19" s="1">
        <v>120000</v>
      </c>
      <c r="E19" s="1">
        <v>123845</v>
      </c>
      <c r="F19" s="1">
        <v>100000</v>
      </c>
      <c r="G19" s="1">
        <v>155476</v>
      </c>
      <c r="H19" s="7">
        <v>100000</v>
      </c>
      <c r="I19" s="8">
        <v>103704.56</v>
      </c>
      <c r="J19" s="7">
        <v>100000</v>
      </c>
      <c r="K19" s="8">
        <v>49913.85</v>
      </c>
      <c r="L19" s="7">
        <v>75000</v>
      </c>
    </row>
    <row r="20" spans="1:14" x14ac:dyDescent="0.25">
      <c r="A20" t="s">
        <v>16</v>
      </c>
      <c r="B20" s="1">
        <v>15000</v>
      </c>
      <c r="C20" s="3">
        <v>15956</v>
      </c>
      <c r="D20" s="1">
        <v>15000</v>
      </c>
      <c r="E20" s="1">
        <v>16463</v>
      </c>
      <c r="F20" s="1">
        <v>17500</v>
      </c>
      <c r="G20" s="1">
        <v>17187</v>
      </c>
      <c r="H20" s="7">
        <v>17500</v>
      </c>
      <c r="I20" s="8">
        <v>17944</v>
      </c>
      <c r="J20" s="7">
        <v>17500</v>
      </c>
      <c r="K20" s="8">
        <f>39609.53+41.63-21517.74</f>
        <v>18133.419999999995</v>
      </c>
      <c r="L20" s="7">
        <v>20000</v>
      </c>
      <c r="N20" s="36"/>
    </row>
    <row r="21" spans="1:14" x14ac:dyDescent="0.25">
      <c r="A21" t="s">
        <v>51</v>
      </c>
      <c r="B21" s="1">
        <v>20000</v>
      </c>
      <c r="C21" s="3">
        <v>24111</v>
      </c>
      <c r="D21" s="1">
        <v>20000</v>
      </c>
      <c r="E21" s="1">
        <v>19568</v>
      </c>
      <c r="F21" s="1">
        <v>20000</v>
      </c>
      <c r="G21" s="1">
        <v>0</v>
      </c>
      <c r="H21" s="7">
        <v>20000</v>
      </c>
      <c r="I21" s="8">
        <f>23003.28</f>
        <v>23003.279999999999</v>
      </c>
      <c r="J21" s="7">
        <v>20000</v>
      </c>
      <c r="K21" s="8">
        <v>57591.68</v>
      </c>
      <c r="L21" s="7">
        <v>30000</v>
      </c>
    </row>
    <row r="22" spans="1:14" x14ac:dyDescent="0.25">
      <c r="A22" t="s">
        <v>18</v>
      </c>
      <c r="C22" s="3"/>
      <c r="E22" s="1"/>
      <c r="H22" s="6"/>
      <c r="I22" s="8"/>
      <c r="J22" s="6"/>
      <c r="K22" s="8"/>
      <c r="L22" s="7">
        <f t="shared" si="1"/>
        <v>0</v>
      </c>
    </row>
    <row r="23" spans="1:14" x14ac:dyDescent="0.25">
      <c r="A23" t="s">
        <v>19</v>
      </c>
      <c r="C23" s="3">
        <v>4289</v>
      </c>
      <c r="E23" s="1">
        <v>5100</v>
      </c>
      <c r="H23" s="6"/>
      <c r="I23" s="8">
        <v>6636</v>
      </c>
      <c r="K23" s="8"/>
      <c r="L23" s="7">
        <f t="shared" si="1"/>
        <v>0</v>
      </c>
    </row>
    <row r="24" spans="1:14" x14ac:dyDescent="0.25">
      <c r="A24" t="s">
        <v>20</v>
      </c>
      <c r="C24" s="3">
        <v>8244</v>
      </c>
      <c r="E24" s="1">
        <v>7033</v>
      </c>
      <c r="H24" s="6"/>
      <c r="I24" s="8">
        <v>7190.73</v>
      </c>
      <c r="J24" s="6"/>
      <c r="K24" s="8">
        <v>6296.03</v>
      </c>
      <c r="L24" s="7">
        <v>5000</v>
      </c>
    </row>
    <row r="25" spans="1:14" x14ac:dyDescent="0.25">
      <c r="A25" t="s">
        <v>21</v>
      </c>
      <c r="C25" s="3"/>
      <c r="E25" s="1"/>
      <c r="H25" s="6"/>
      <c r="I25" s="8">
        <v>3418.8</v>
      </c>
      <c r="J25" s="6"/>
      <c r="K25" s="8">
        <v>0</v>
      </c>
      <c r="L25" s="7">
        <f t="shared" si="1"/>
        <v>0</v>
      </c>
    </row>
    <row r="26" spans="1:14" x14ac:dyDescent="0.25">
      <c r="A26" t="s">
        <v>22</v>
      </c>
      <c r="B26" s="1">
        <v>15000</v>
      </c>
      <c r="C26" s="3">
        <v>16584</v>
      </c>
      <c r="D26" s="1">
        <v>15000</v>
      </c>
      <c r="E26" s="1">
        <v>12262</v>
      </c>
      <c r="F26" s="1">
        <v>25000</v>
      </c>
      <c r="G26" s="1">
        <v>14885</v>
      </c>
      <c r="H26" s="7">
        <v>50000</v>
      </c>
      <c r="I26" s="8">
        <v>79775</v>
      </c>
      <c r="J26" s="7">
        <v>25000</v>
      </c>
      <c r="K26" s="8">
        <f>244776.17-175192.46</f>
        <v>69583.710000000021</v>
      </c>
      <c r="L26" s="7">
        <f t="shared" si="1"/>
        <v>25000</v>
      </c>
    </row>
    <row r="27" spans="1:14" x14ac:dyDescent="0.25">
      <c r="A27" t="s">
        <v>23</v>
      </c>
      <c r="B27" s="1">
        <v>285000</v>
      </c>
      <c r="C27" s="3">
        <v>345636</v>
      </c>
      <c r="D27" s="1">
        <v>400000</v>
      </c>
      <c r="E27" s="1">
        <v>355195</v>
      </c>
      <c r="F27" s="1">
        <v>350000</v>
      </c>
      <c r="G27" s="1">
        <v>387614</v>
      </c>
      <c r="H27" s="7">
        <v>350000</v>
      </c>
      <c r="I27" s="8">
        <v>283278</v>
      </c>
      <c r="J27" s="1">
        <v>375000</v>
      </c>
      <c r="K27" s="8">
        <v>276458.3</v>
      </c>
      <c r="L27" s="7">
        <v>300000</v>
      </c>
    </row>
    <row r="28" spans="1:14" x14ac:dyDescent="0.25">
      <c r="A28" t="s">
        <v>24</v>
      </c>
      <c r="C28" s="3">
        <v>5180</v>
      </c>
      <c r="E28" s="1"/>
      <c r="I28" s="9">
        <v>5734</v>
      </c>
      <c r="J28" s="6"/>
      <c r="K28" s="9"/>
      <c r="L28" s="6"/>
    </row>
    <row r="29" spans="1:14" x14ac:dyDescent="0.25">
      <c r="A29" t="s">
        <v>25</v>
      </c>
      <c r="B29" s="19"/>
      <c r="C29" s="20"/>
      <c r="D29" s="19"/>
      <c r="E29" s="21"/>
      <c r="F29" s="19"/>
      <c r="G29" s="19"/>
      <c r="H29" s="19"/>
      <c r="I29" s="23"/>
      <c r="J29" s="22"/>
      <c r="K29" s="23"/>
      <c r="L29" s="22"/>
      <c r="M29" s="19"/>
    </row>
    <row r="30" spans="1:14" x14ac:dyDescent="0.25">
      <c r="C30" s="3"/>
      <c r="E30" s="1"/>
      <c r="I30" s="9"/>
      <c r="J30" s="6"/>
      <c r="K30" s="9"/>
      <c r="L30" s="6"/>
    </row>
    <row r="31" spans="1:14" s="11" customFormat="1" x14ac:dyDescent="0.25">
      <c r="A31" s="11" t="s">
        <v>26</v>
      </c>
      <c r="B31" s="13">
        <f t="shared" ref="B31:H31" si="2">SUM(B3:B29)</f>
        <v>1778000</v>
      </c>
      <c r="C31" s="14">
        <f t="shared" si="2"/>
        <v>1881746</v>
      </c>
      <c r="D31" s="13">
        <f t="shared" si="2"/>
        <v>1895000</v>
      </c>
      <c r="E31" s="15">
        <f t="shared" si="2"/>
        <v>2188224</v>
      </c>
      <c r="F31" s="13">
        <f t="shared" si="2"/>
        <v>1902500</v>
      </c>
      <c r="G31" s="13">
        <f t="shared" si="2"/>
        <v>2294926</v>
      </c>
      <c r="H31" s="13">
        <f t="shared" si="2"/>
        <v>2002500</v>
      </c>
      <c r="I31" s="17">
        <f>SUM(I3:I29)</f>
        <v>2315764.29</v>
      </c>
      <c r="J31" s="18">
        <f>SUM(J3:J29)</f>
        <v>2162500</v>
      </c>
      <c r="K31" s="17">
        <f>SUM(K3:K29)</f>
        <v>1806282.8299999998</v>
      </c>
      <c r="L31" s="18">
        <f t="shared" ref="L31:M31" si="3">SUM(L3:L29)</f>
        <v>2293000</v>
      </c>
      <c r="M31" s="17">
        <f t="shared" si="3"/>
        <v>0</v>
      </c>
    </row>
    <row r="33" spans="1:23" x14ac:dyDescent="0.25">
      <c r="I33" s="2"/>
      <c r="K33" s="2"/>
    </row>
    <row r="34" spans="1:23" x14ac:dyDescent="0.25">
      <c r="A34" s="11" t="s">
        <v>64</v>
      </c>
      <c r="I34" s="26"/>
    </row>
    <row r="35" spans="1:23" x14ac:dyDescent="0.25">
      <c r="A35" t="s">
        <v>65</v>
      </c>
      <c r="H35" s="2"/>
      <c r="L35" s="7">
        <f>ROUND(K9/9,-3)*1.04</f>
        <v>12480</v>
      </c>
    </row>
    <row r="36" spans="1:23" x14ac:dyDescent="0.25">
      <c r="A36" t="s">
        <v>71</v>
      </c>
      <c r="L36" s="19">
        <v>12</v>
      </c>
    </row>
    <row r="37" spans="1:23" x14ac:dyDescent="0.25">
      <c r="A37" t="s">
        <v>66</v>
      </c>
      <c r="L37" s="13">
        <f>ROUND(L35*L36,-3)</f>
        <v>150000</v>
      </c>
    </row>
    <row r="40" spans="1:23" x14ac:dyDescent="0.25">
      <c r="L40" s="40">
        <v>2022</v>
      </c>
      <c r="M40" s="41"/>
      <c r="N40" s="42"/>
    </row>
    <row r="41" spans="1:23" ht="30" x14ac:dyDescent="0.25">
      <c r="A41" s="11" t="s">
        <v>80</v>
      </c>
      <c r="L41" s="11" t="s">
        <v>66</v>
      </c>
      <c r="M41" t="s">
        <v>81</v>
      </c>
      <c r="N41" s="10" t="s">
        <v>79</v>
      </c>
      <c r="O41" t="s">
        <v>88</v>
      </c>
      <c r="P41" s="10" t="s">
        <v>82</v>
      </c>
      <c r="Q41" s="10" t="s">
        <v>83</v>
      </c>
      <c r="R41" s="10" t="s">
        <v>84</v>
      </c>
      <c r="S41" s="10" t="s">
        <v>85</v>
      </c>
    </row>
    <row r="42" spans="1:23" x14ac:dyDescent="0.25">
      <c r="A42" s="27" t="s">
        <v>72</v>
      </c>
      <c r="L42" s="30">
        <f>M42+IF(R42&lt;3432,R42,3432)+IF(S42&lt;1193.56,S42,1193.56)</f>
        <v>53699.438896264001</v>
      </c>
      <c r="M42" s="28">
        <f>SUM(N42:Q42)</f>
        <v>49762.2497</v>
      </c>
      <c r="N42" s="28">
        <f>43500*1.03</f>
        <v>44805</v>
      </c>
      <c r="O42" s="28">
        <f>N42*0.08</f>
        <v>3584.4</v>
      </c>
      <c r="P42" s="28">
        <v>1000</v>
      </c>
      <c r="Q42" s="28">
        <f>361.99*1.03</f>
        <v>372.84970000000004</v>
      </c>
      <c r="R42" s="28">
        <f>M42*0.057</f>
        <v>2836.4482329000002</v>
      </c>
      <c r="S42" s="28">
        <f>M42*0.0158*1.4</f>
        <v>1100.7409633640002</v>
      </c>
      <c r="T42" s="28"/>
      <c r="U42" s="28"/>
      <c r="V42" s="28"/>
      <c r="W42" s="28"/>
    </row>
    <row r="43" spans="1:23" x14ac:dyDescent="0.25">
      <c r="A43" s="27" t="s">
        <v>73</v>
      </c>
      <c r="L43" s="30">
        <f>M43+IF(R43&lt;3432,R43,3432)+IF(S43&lt;1193.56,S43,1193.56)</f>
        <v>81127.928100000005</v>
      </c>
      <c r="M43" s="28">
        <f t="shared" ref="M43:M47" si="4">SUM(N43:Q43)</f>
        <v>76502.368100000007</v>
      </c>
      <c r="N43" s="28">
        <f>67500*1.03</f>
        <v>69525</v>
      </c>
      <c r="O43" s="28">
        <f t="shared" ref="O43:O46" si="5">N43*0.08</f>
        <v>5562</v>
      </c>
      <c r="P43" s="28">
        <v>1000</v>
      </c>
      <c r="Q43" s="28">
        <f>403.27*1.03</f>
        <v>415.36809999999997</v>
      </c>
      <c r="R43" s="28">
        <f t="shared" ref="R43:R48" si="6">M43*0.057</f>
        <v>4360.6349817000009</v>
      </c>
      <c r="S43" s="28">
        <f t="shared" ref="S43:S48" si="7">M43*0.0158*1.4</f>
        <v>1692.2323823720001</v>
      </c>
      <c r="T43" s="28"/>
      <c r="U43" s="28"/>
      <c r="V43" s="28"/>
      <c r="W43" s="28"/>
    </row>
    <row r="44" spans="1:23" x14ac:dyDescent="0.25">
      <c r="A44" s="27" t="s">
        <v>74</v>
      </c>
      <c r="L44" s="30">
        <f t="shared" ref="L44:L47" si="8">M44+IF(R44&lt;3432,R44,3432)+IF(S44&lt;1193.56,S44,1193.56)</f>
        <v>81684.128100000002</v>
      </c>
      <c r="M44" s="28">
        <f t="shared" si="4"/>
        <v>77058.568100000004</v>
      </c>
      <c r="N44" s="28">
        <f>68000*1.03</f>
        <v>70040</v>
      </c>
      <c r="O44" s="28">
        <f t="shared" si="5"/>
        <v>5603.2</v>
      </c>
      <c r="P44" s="28">
        <v>1000</v>
      </c>
      <c r="Q44" s="28">
        <f>403.27*1.03</f>
        <v>415.36809999999997</v>
      </c>
      <c r="R44" s="28">
        <f t="shared" si="6"/>
        <v>4392.3383817000004</v>
      </c>
      <c r="S44" s="28">
        <f t="shared" si="7"/>
        <v>1704.5355263720003</v>
      </c>
      <c r="T44" s="28"/>
      <c r="U44" s="28"/>
      <c r="V44" s="28"/>
      <c r="W44" s="28"/>
    </row>
    <row r="45" spans="1:23" x14ac:dyDescent="0.25">
      <c r="A45" s="27" t="s">
        <v>75</v>
      </c>
      <c r="L45" s="30">
        <f t="shared" si="8"/>
        <v>83908.928100000005</v>
      </c>
      <c r="M45" s="28">
        <f t="shared" si="4"/>
        <v>79283.368100000007</v>
      </c>
      <c r="N45" s="28">
        <f>70000*1.03</f>
        <v>72100</v>
      </c>
      <c r="O45" s="28">
        <f t="shared" si="5"/>
        <v>5768</v>
      </c>
      <c r="P45" s="28">
        <v>1000</v>
      </c>
      <c r="Q45" s="28">
        <f>403.27*1.03</f>
        <v>415.36809999999997</v>
      </c>
      <c r="R45" s="28">
        <f t="shared" si="6"/>
        <v>4519.1519817000008</v>
      </c>
      <c r="S45" s="28">
        <f t="shared" si="7"/>
        <v>1753.7481023720002</v>
      </c>
      <c r="T45" s="28"/>
      <c r="U45" s="28"/>
      <c r="V45" s="28"/>
      <c r="W45" s="28"/>
    </row>
    <row r="46" spans="1:23" x14ac:dyDescent="0.25">
      <c r="A46" s="27" t="s">
        <v>76</v>
      </c>
      <c r="L46" s="30">
        <f t="shared" si="8"/>
        <v>124209.307766</v>
      </c>
      <c r="M46" s="28">
        <f t="shared" si="4"/>
        <v>119583.747766</v>
      </c>
      <c r="N46" s="29">
        <f>70855.31*12/8*1.03</f>
        <v>109471.45395</v>
      </c>
      <c r="O46" s="28">
        <f t="shared" si="5"/>
        <v>8757.716316</v>
      </c>
      <c r="P46" s="28">
        <v>1000</v>
      </c>
      <c r="Q46" s="28">
        <f>344.25*1.03</f>
        <v>354.57749999999999</v>
      </c>
      <c r="R46" s="28">
        <f t="shared" si="6"/>
        <v>6816.273622662</v>
      </c>
      <c r="S46" s="28">
        <f t="shared" si="7"/>
        <v>2645.1925005839198</v>
      </c>
      <c r="T46" s="28"/>
      <c r="U46" s="28"/>
      <c r="V46" s="28"/>
      <c r="W46" s="28"/>
    </row>
    <row r="47" spans="1:23" x14ac:dyDescent="0.25">
      <c r="A47" s="27" t="s">
        <v>77</v>
      </c>
      <c r="B47" s="27"/>
      <c r="C47" s="27"/>
      <c r="D47" s="27"/>
      <c r="L47" s="30">
        <f t="shared" si="8"/>
        <v>165905.7758</v>
      </c>
      <c r="M47" s="28">
        <f t="shared" si="4"/>
        <v>161280.21580000001</v>
      </c>
      <c r="N47" s="30">
        <f>11971*12*1.03</f>
        <v>147961.56</v>
      </c>
      <c r="O47" s="28">
        <f>N47*0.08</f>
        <v>11836.924800000001</v>
      </c>
      <c r="P47" s="28">
        <v>1000</v>
      </c>
      <c r="Q47" s="28">
        <f>467.7*1.03</f>
        <v>481.73099999999999</v>
      </c>
      <c r="R47" s="28">
        <f t="shared" si="6"/>
        <v>9192.9723006000004</v>
      </c>
      <c r="S47" s="28">
        <f t="shared" si="7"/>
        <v>3567.5183734960001</v>
      </c>
      <c r="T47" s="28"/>
      <c r="U47" s="28"/>
      <c r="V47" s="28"/>
      <c r="W47" s="28"/>
    </row>
    <row r="48" spans="1:23" x14ac:dyDescent="0.25">
      <c r="A48" s="27" t="s">
        <v>78</v>
      </c>
      <c r="L48" s="31">
        <f>M48+IF(R48&lt;3432,R48,3432)+IF(S48&lt;1193.56,S48,1193.56)</f>
        <v>237853.92290000001</v>
      </c>
      <c r="M48" s="31">
        <f>SUM(N48:Q48)</f>
        <v>233228.36290000001</v>
      </c>
      <c r="N48" s="31">
        <f>112530.58*12/6*1.03</f>
        <v>231812.99480000001</v>
      </c>
      <c r="O48" s="28"/>
      <c r="P48" s="28">
        <v>1000</v>
      </c>
      <c r="Q48" s="28">
        <f>403.27*1.03</f>
        <v>415.36809999999997</v>
      </c>
      <c r="R48" s="28">
        <f t="shared" si="6"/>
        <v>13294.016685300001</v>
      </c>
      <c r="S48" s="28">
        <f t="shared" si="7"/>
        <v>5159.0113873480004</v>
      </c>
      <c r="T48" s="28"/>
      <c r="U48" s="28"/>
      <c r="V48" s="28"/>
      <c r="W48" s="28"/>
    </row>
    <row r="49" spans="1:14" x14ac:dyDescent="0.25">
      <c r="A49" s="27" t="s">
        <v>66</v>
      </c>
      <c r="L49" s="32">
        <f>SUM(L42:L48)</f>
        <v>828389.42966226407</v>
      </c>
      <c r="M49" s="32">
        <f>SUM(M42:M48)</f>
        <v>796698.88046599994</v>
      </c>
      <c r="N49" s="32">
        <f t="shared" ref="N49" si="9">SUM(N42:N48)</f>
        <v>745716.00875000004</v>
      </c>
    </row>
    <row r="50" spans="1:14" x14ac:dyDescent="0.25">
      <c r="A50" s="27" t="s">
        <v>86</v>
      </c>
      <c r="L50" s="33">
        <f>ROUND(L49,-3)</f>
        <v>828000</v>
      </c>
    </row>
  </sheetData>
  <mergeCells count="1">
    <mergeCell ref="L40:N40"/>
  </mergeCells>
  <phoneticPr fontId="3" type="noConversion"/>
  <pageMargins left="0.7" right="0.7" top="0.75" bottom="0.75" header="0.3" footer="0.3"/>
  <pageSetup scale="86" fitToHeight="0" orientation="landscape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1"/>
  <sheetViews>
    <sheetView workbookViewId="0">
      <pane xSplit="1" ySplit="1" topLeftCell="F2" activePane="bottomRight" state="frozen"/>
      <selection pane="topRight" activeCell="B1" sqref="B1"/>
      <selection pane="bottomLeft" activeCell="A2" sqref="A2"/>
      <selection pane="bottomRight" activeCell="L4" sqref="L4"/>
    </sheetView>
  </sheetViews>
  <sheetFormatPr defaultRowHeight="15" x14ac:dyDescent="0.25"/>
  <cols>
    <col min="1" max="1" width="33.7109375" customWidth="1"/>
    <col min="2" max="2" width="18.42578125" customWidth="1"/>
    <col min="3" max="3" width="20.28515625" customWidth="1"/>
    <col min="4" max="4" width="21.5703125" customWidth="1"/>
    <col min="5" max="5" width="20.7109375" customWidth="1"/>
    <col min="6" max="6" width="22.85546875" customWidth="1"/>
    <col min="7" max="8" width="27.42578125" customWidth="1"/>
    <col min="9" max="9" width="32.5703125" customWidth="1"/>
    <col min="10" max="10" width="27.5703125" customWidth="1"/>
    <col min="11" max="11" width="22.42578125" customWidth="1"/>
    <col min="12" max="12" width="27.42578125" customWidth="1"/>
    <col min="13" max="13" width="21.42578125" customWidth="1"/>
  </cols>
  <sheetData>
    <row r="1" spans="1:13" s="11" customFormat="1" ht="36.75" customHeight="1" x14ac:dyDescent="0.25">
      <c r="B1" s="11" t="s">
        <v>27</v>
      </c>
      <c r="C1" s="11" t="s">
        <v>59</v>
      </c>
      <c r="D1" s="11" t="s">
        <v>44</v>
      </c>
      <c r="E1" s="11" t="s">
        <v>60</v>
      </c>
      <c r="F1" s="11" t="s">
        <v>49</v>
      </c>
      <c r="G1" s="11" t="s">
        <v>61</v>
      </c>
      <c r="H1" s="11" t="s">
        <v>52</v>
      </c>
      <c r="I1" s="24" t="s">
        <v>89</v>
      </c>
      <c r="J1" s="11" t="s">
        <v>55</v>
      </c>
      <c r="K1" s="35" t="s">
        <v>90</v>
      </c>
      <c r="L1" s="24" t="s">
        <v>69</v>
      </c>
      <c r="M1" s="12" t="s">
        <v>70</v>
      </c>
    </row>
    <row r="2" spans="1:13" x14ac:dyDescent="0.25">
      <c r="A2" t="s">
        <v>28</v>
      </c>
      <c r="I2" s="6"/>
      <c r="K2" s="6"/>
      <c r="L2" s="6"/>
    </row>
    <row r="3" spans="1:13" x14ac:dyDescent="0.25">
      <c r="A3" t="s">
        <v>29</v>
      </c>
      <c r="B3" s="1">
        <v>1600000</v>
      </c>
      <c r="C3" s="3">
        <v>1685748</v>
      </c>
      <c r="D3" s="1">
        <v>1625000</v>
      </c>
      <c r="E3" s="3">
        <v>1802424</v>
      </c>
      <c r="F3" s="1">
        <v>1700000</v>
      </c>
      <c r="G3" s="3">
        <v>1936155</v>
      </c>
      <c r="H3" s="1">
        <v>1850000</v>
      </c>
      <c r="I3" s="5">
        <v>2118000</v>
      </c>
      <c r="J3" s="1">
        <v>2100000</v>
      </c>
      <c r="K3" s="38">
        <v>2080025</v>
      </c>
      <c r="L3" s="5">
        <f>J3</f>
        <v>2100000</v>
      </c>
    </row>
    <row r="4" spans="1:13" x14ac:dyDescent="0.25">
      <c r="A4" t="s">
        <v>30</v>
      </c>
      <c r="B4" s="1">
        <v>20000</v>
      </c>
      <c r="C4" s="3">
        <v>24700</v>
      </c>
      <c r="D4" s="1">
        <v>15000</v>
      </c>
      <c r="E4" s="3">
        <v>33875</v>
      </c>
      <c r="F4" s="1">
        <v>25000</v>
      </c>
      <c r="G4" s="3">
        <v>30520</v>
      </c>
      <c r="H4" s="1">
        <v>30000</v>
      </c>
      <c r="I4" s="5">
        <v>34850</v>
      </c>
      <c r="J4" s="1">
        <v>30000</v>
      </c>
      <c r="K4" s="38">
        <v>20875</v>
      </c>
      <c r="L4" s="5">
        <f t="shared" ref="L4:L7" si="0">ROUND(J4*1.03,-4)</f>
        <v>30000</v>
      </c>
    </row>
    <row r="5" spans="1:13" x14ac:dyDescent="0.25">
      <c r="A5" t="s">
        <v>31</v>
      </c>
      <c r="B5" s="1">
        <v>70000</v>
      </c>
      <c r="C5" s="3">
        <v>87600</v>
      </c>
      <c r="D5" s="1">
        <v>75000</v>
      </c>
      <c r="E5" s="3">
        <v>84600</v>
      </c>
      <c r="F5" s="1">
        <v>90000</v>
      </c>
      <c r="G5" s="3">
        <v>82000</v>
      </c>
      <c r="H5" s="1">
        <v>90000</v>
      </c>
      <c r="I5" s="5">
        <v>82200</v>
      </c>
      <c r="J5" s="1">
        <v>85000</v>
      </c>
      <c r="K5" s="38">
        <v>87400</v>
      </c>
      <c r="L5" s="5">
        <f t="shared" si="0"/>
        <v>90000</v>
      </c>
    </row>
    <row r="6" spans="1:13" x14ac:dyDescent="0.25">
      <c r="A6" t="s">
        <v>32</v>
      </c>
      <c r="B6" s="1">
        <v>10000</v>
      </c>
      <c r="C6" s="3">
        <v>19000</v>
      </c>
      <c r="D6" s="1">
        <v>10000</v>
      </c>
      <c r="E6" s="3">
        <v>26500</v>
      </c>
      <c r="F6" s="1">
        <v>20000</v>
      </c>
      <c r="G6" s="3">
        <v>18000</v>
      </c>
      <c r="H6" s="1">
        <v>20000</v>
      </c>
      <c r="I6" s="5">
        <v>13700</v>
      </c>
      <c r="J6" s="1">
        <v>15000</v>
      </c>
      <c r="K6" s="38">
        <v>17500</v>
      </c>
      <c r="L6" s="5">
        <f t="shared" si="0"/>
        <v>20000</v>
      </c>
    </row>
    <row r="7" spans="1:13" x14ac:dyDescent="0.25">
      <c r="A7" t="s">
        <v>33</v>
      </c>
      <c r="B7" s="1">
        <v>20000</v>
      </c>
      <c r="C7" s="3">
        <v>30300</v>
      </c>
      <c r="D7" s="1">
        <v>20000</v>
      </c>
      <c r="E7" s="3">
        <v>28600</v>
      </c>
      <c r="F7" s="1">
        <v>30000</v>
      </c>
      <c r="G7" s="3">
        <v>28500</v>
      </c>
      <c r="H7" s="1">
        <v>30000</v>
      </c>
      <c r="I7" s="5">
        <v>26025</v>
      </c>
      <c r="J7" s="1">
        <v>25000</v>
      </c>
      <c r="K7" s="38">
        <v>25000</v>
      </c>
      <c r="L7" s="5">
        <f t="shared" si="0"/>
        <v>30000</v>
      </c>
    </row>
    <row r="8" spans="1:13" x14ac:dyDescent="0.25">
      <c r="A8" t="s">
        <v>34</v>
      </c>
      <c r="B8" s="1">
        <v>500</v>
      </c>
      <c r="C8" s="3">
        <v>500</v>
      </c>
      <c r="D8" s="1"/>
      <c r="F8" s="1"/>
      <c r="H8" s="1"/>
      <c r="I8" s="5"/>
      <c r="K8" s="5">
        <v>250</v>
      </c>
      <c r="L8" s="5">
        <v>0</v>
      </c>
    </row>
    <row r="9" spans="1:13" x14ac:dyDescent="0.25">
      <c r="A9" t="s">
        <v>19</v>
      </c>
      <c r="C9" s="3">
        <v>6949</v>
      </c>
      <c r="D9" s="1"/>
      <c r="E9" s="3">
        <v>488</v>
      </c>
      <c r="F9" s="1"/>
      <c r="G9" s="3"/>
      <c r="H9" s="1"/>
      <c r="I9" s="5">
        <v>500</v>
      </c>
      <c r="K9" s="5">
        <v>750</v>
      </c>
      <c r="L9" s="5">
        <v>0</v>
      </c>
    </row>
    <row r="10" spans="1:13" x14ac:dyDescent="0.25">
      <c r="A10" t="s">
        <v>35</v>
      </c>
      <c r="C10" s="3">
        <v>1530</v>
      </c>
      <c r="D10" s="1"/>
      <c r="E10" s="3">
        <v>1740</v>
      </c>
      <c r="F10" s="1"/>
      <c r="G10" s="3"/>
      <c r="H10" s="1"/>
      <c r="I10" s="5">
        <v>780</v>
      </c>
      <c r="K10" s="5">
        <v>960</v>
      </c>
      <c r="L10" s="5">
        <v>1000</v>
      </c>
    </row>
    <row r="11" spans="1:13" x14ac:dyDescent="0.25">
      <c r="A11" t="s">
        <v>62</v>
      </c>
      <c r="C11" s="3"/>
      <c r="D11" s="1"/>
      <c r="E11" s="3"/>
      <c r="F11" s="1"/>
      <c r="G11" s="3"/>
      <c r="H11" s="1"/>
      <c r="I11" s="5">
        <v>200</v>
      </c>
      <c r="K11" s="5">
        <v>400</v>
      </c>
      <c r="L11" s="5">
        <v>0</v>
      </c>
    </row>
    <row r="12" spans="1:13" x14ac:dyDescent="0.25">
      <c r="A12" t="s">
        <v>36</v>
      </c>
      <c r="C12" s="3">
        <v>15658</v>
      </c>
      <c r="D12" s="1"/>
      <c r="E12" s="3">
        <v>78689</v>
      </c>
      <c r="F12" s="1"/>
      <c r="G12" s="3">
        <v>3806</v>
      </c>
      <c r="H12" s="1"/>
      <c r="I12" s="5">
        <v>1100</v>
      </c>
      <c r="K12" s="5">
        <v>20023.3</v>
      </c>
      <c r="L12" s="5">
        <v>10000</v>
      </c>
    </row>
    <row r="13" spans="1:13" x14ac:dyDescent="0.25">
      <c r="A13" t="s">
        <v>37</v>
      </c>
      <c r="C13" s="3">
        <v>1559</v>
      </c>
      <c r="D13" s="1"/>
      <c r="F13" s="1"/>
      <c r="H13" s="1"/>
      <c r="I13" s="5"/>
      <c r="K13" s="5"/>
      <c r="L13" s="5"/>
    </row>
    <row r="14" spans="1:13" x14ac:dyDescent="0.25">
      <c r="A14" t="s">
        <v>17</v>
      </c>
      <c r="B14" s="1">
        <v>15000</v>
      </c>
      <c r="C14" s="3">
        <v>3850</v>
      </c>
      <c r="D14" s="1">
        <v>15000</v>
      </c>
      <c r="E14" s="3">
        <v>2800</v>
      </c>
      <c r="F14" s="1">
        <v>20000</v>
      </c>
      <c r="G14" s="3">
        <v>2736</v>
      </c>
      <c r="H14" s="1">
        <v>20000</v>
      </c>
      <c r="I14" s="5">
        <v>1400</v>
      </c>
      <c r="J14" s="4">
        <v>5000</v>
      </c>
      <c r="K14" s="5">
        <v>3600</v>
      </c>
      <c r="L14" s="5">
        <f>J14</f>
        <v>5000</v>
      </c>
    </row>
    <row r="15" spans="1:13" x14ac:dyDescent="0.25">
      <c r="A15" t="s">
        <v>38</v>
      </c>
      <c r="C15" s="3"/>
      <c r="D15" s="1"/>
      <c r="F15" s="1"/>
      <c r="H15" s="1"/>
      <c r="I15" s="5">
        <v>3287</v>
      </c>
      <c r="K15" s="6"/>
      <c r="L15" s="5"/>
    </row>
    <row r="16" spans="1:13" x14ac:dyDescent="0.25">
      <c r="A16" t="s">
        <v>39</v>
      </c>
      <c r="C16" s="3"/>
      <c r="D16" s="1"/>
      <c r="F16" s="1"/>
      <c r="H16" s="1"/>
      <c r="I16" s="5">
        <v>7492.55</v>
      </c>
      <c r="K16" s="7">
        <v>1678.63</v>
      </c>
      <c r="L16" s="5">
        <v>5000</v>
      </c>
    </row>
    <row r="17" spans="1:13" x14ac:dyDescent="0.25">
      <c r="A17" t="s">
        <v>40</v>
      </c>
      <c r="B17" s="3">
        <v>15000</v>
      </c>
      <c r="C17" s="3">
        <v>32856</v>
      </c>
      <c r="D17" s="1">
        <v>15000</v>
      </c>
      <c r="E17" s="3">
        <v>26050</v>
      </c>
      <c r="F17" s="1">
        <v>20000</v>
      </c>
      <c r="G17" s="3">
        <v>18569</v>
      </c>
      <c r="H17" s="1">
        <v>20000</v>
      </c>
      <c r="I17" s="5">
        <f>7275+825</f>
        <v>8100</v>
      </c>
      <c r="J17" s="4">
        <v>20000</v>
      </c>
      <c r="K17" s="7"/>
      <c r="L17" s="5">
        <v>7500</v>
      </c>
    </row>
    <row r="18" spans="1:13" x14ac:dyDescent="0.25">
      <c r="A18" t="s">
        <v>41</v>
      </c>
      <c r="C18" s="3"/>
      <c r="D18" s="1"/>
      <c r="F18" s="1"/>
      <c r="H18" s="1"/>
      <c r="I18" s="5"/>
      <c r="K18" s="6"/>
      <c r="L18" s="5"/>
    </row>
    <row r="19" spans="1:13" x14ac:dyDescent="0.25">
      <c r="A19" t="s">
        <v>42</v>
      </c>
      <c r="C19" s="3"/>
      <c r="D19" s="1"/>
      <c r="F19" s="1"/>
      <c r="H19" s="1"/>
      <c r="I19" s="5"/>
      <c r="K19" s="6"/>
      <c r="L19" s="5"/>
    </row>
    <row r="20" spans="1:13" x14ac:dyDescent="0.25">
      <c r="A20" t="s">
        <v>63</v>
      </c>
      <c r="B20" s="19"/>
      <c r="C20" s="20"/>
      <c r="D20" s="21"/>
      <c r="E20" s="19"/>
      <c r="F20" s="21"/>
      <c r="G20" s="19"/>
      <c r="H20" s="21"/>
      <c r="I20" s="25">
        <v>6000</v>
      </c>
      <c r="J20" s="19"/>
      <c r="K20" s="39">
        <v>4000</v>
      </c>
      <c r="L20" s="25">
        <v>5000</v>
      </c>
      <c r="M20" s="19"/>
    </row>
    <row r="21" spans="1:13" x14ac:dyDescent="0.25">
      <c r="C21" s="3"/>
      <c r="D21" s="1"/>
      <c r="F21" s="1"/>
      <c r="H21" s="1"/>
      <c r="I21" s="6"/>
      <c r="K21" s="6"/>
      <c r="L21" s="6"/>
    </row>
    <row r="22" spans="1:13" s="11" customFormat="1" x14ac:dyDescent="0.25">
      <c r="A22" s="11" t="s">
        <v>43</v>
      </c>
      <c r="B22" s="13">
        <f t="shared" ref="B22:J22" si="1">SUM(B3:B21)</f>
        <v>1750500</v>
      </c>
      <c r="C22" s="14">
        <f t="shared" si="1"/>
        <v>1910250</v>
      </c>
      <c r="D22" s="15">
        <f t="shared" si="1"/>
        <v>1775000</v>
      </c>
      <c r="E22" s="14">
        <f t="shared" si="1"/>
        <v>2085766</v>
      </c>
      <c r="F22" s="15">
        <f t="shared" si="1"/>
        <v>1905000</v>
      </c>
      <c r="G22" s="14">
        <f t="shared" si="1"/>
        <v>2120286</v>
      </c>
      <c r="H22" s="15">
        <f t="shared" si="1"/>
        <v>2060000</v>
      </c>
      <c r="I22" s="37">
        <f t="shared" si="1"/>
        <v>2303634.5499999998</v>
      </c>
      <c r="J22" s="13">
        <f t="shared" si="1"/>
        <v>2280000</v>
      </c>
      <c r="K22" s="16">
        <f>SUM(K3:K21)</f>
        <v>2262461.9299999997</v>
      </c>
      <c r="L22" s="16">
        <f t="shared" ref="L22:M22" si="2">SUM(L3:L21)</f>
        <v>2303500</v>
      </c>
      <c r="M22" s="16">
        <f t="shared" si="2"/>
        <v>0</v>
      </c>
    </row>
    <row r="23" spans="1:13" x14ac:dyDescent="0.25">
      <c r="B23" s="1"/>
      <c r="C23" s="1"/>
      <c r="D23" s="1"/>
      <c r="E23" s="1"/>
      <c r="F23" s="1"/>
    </row>
    <row r="24" spans="1:13" x14ac:dyDescent="0.25">
      <c r="B24" s="1"/>
      <c r="C24" s="1"/>
      <c r="D24" s="1"/>
      <c r="E24" s="1"/>
      <c r="F24" s="1"/>
      <c r="I24" s="2"/>
      <c r="K24" s="34"/>
      <c r="L24" s="34"/>
    </row>
    <row r="25" spans="1:13" x14ac:dyDescent="0.25">
      <c r="B25" s="1"/>
      <c r="C25" s="1"/>
      <c r="D25" s="1"/>
      <c r="E25" s="1"/>
      <c r="F25" s="1"/>
      <c r="I25" s="2"/>
      <c r="K25" s="34"/>
    </row>
    <row r="26" spans="1:13" x14ac:dyDescent="0.25">
      <c r="B26" s="1"/>
      <c r="C26" s="1"/>
      <c r="D26" s="1"/>
      <c r="E26" s="1"/>
      <c r="F26" s="1"/>
      <c r="H26" s="2"/>
      <c r="I26" s="2"/>
      <c r="K26" s="34"/>
      <c r="L26" s="34"/>
    </row>
    <row r="27" spans="1:13" x14ac:dyDescent="0.25">
      <c r="B27" s="1"/>
      <c r="C27" s="1"/>
      <c r="D27" s="1"/>
      <c r="E27" s="1"/>
      <c r="F27" s="1"/>
    </row>
    <row r="28" spans="1:13" x14ac:dyDescent="0.25">
      <c r="B28" s="1"/>
      <c r="C28" s="1"/>
      <c r="D28" s="1"/>
      <c r="E28" s="1"/>
      <c r="F28" s="1"/>
      <c r="I28" s="2"/>
    </row>
    <row r="29" spans="1:13" x14ac:dyDescent="0.25">
      <c r="B29" s="1"/>
      <c r="C29" s="1"/>
      <c r="D29" s="1"/>
      <c r="E29" s="1"/>
      <c r="F29" s="1"/>
    </row>
    <row r="30" spans="1:13" x14ac:dyDescent="0.25">
      <c r="B30" s="1"/>
      <c r="C30" s="1"/>
      <c r="D30" s="1"/>
      <c r="E30" s="1"/>
      <c r="F30" s="1"/>
    </row>
    <row r="31" spans="1:13" x14ac:dyDescent="0.25">
      <c r="B31" s="1"/>
      <c r="C31" s="1"/>
      <c r="D31" s="1"/>
      <c r="E31" s="1"/>
      <c r="F31" s="1"/>
    </row>
  </sheetData>
  <pageMargins left="0.7" right="0.7" top="0.75" bottom="0.75" header="0.3" footer="0.3"/>
  <pageSetup scale="97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F0C6BFC18E184BB8D5237132025082" ma:contentTypeVersion="4" ma:contentTypeDescription="Create a new document." ma:contentTypeScope="" ma:versionID="9b6346a3dccffce694672a7375f1b969">
  <xsd:schema xmlns:xsd="http://www.w3.org/2001/XMLSchema" xmlns:xs="http://www.w3.org/2001/XMLSchema" xmlns:p="http://schemas.microsoft.com/office/2006/metadata/properties" xmlns:ns2="80579599-3ee1-434b-80d9-966500df6f60" targetNamespace="http://schemas.microsoft.com/office/2006/metadata/properties" ma:root="true" ma:fieldsID="ab18be32faf7b3bdee409b2e2ee1d711" ns2:_="">
    <xsd:import namespace="80579599-3ee1-434b-80d9-966500df6f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579599-3ee1-434b-80d9-966500df6f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C5704F-4817-4222-9382-97BC4E549B7C}"/>
</file>

<file path=customXml/itemProps2.xml><?xml version="1.0" encoding="utf-8"?>
<ds:datastoreItem xmlns:ds="http://schemas.openxmlformats.org/officeDocument/2006/customXml" ds:itemID="{54A4A11F-C1C1-4F4E-9A68-271A5F41E8DF}"/>
</file>

<file path=customXml/itemProps3.xml><?xml version="1.0" encoding="utf-8"?>
<ds:datastoreItem xmlns:ds="http://schemas.openxmlformats.org/officeDocument/2006/customXml" ds:itemID="{C3D4AFAE-3009-4C66-B24F-E11A672AD5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</vt:lpstr>
      <vt:lpstr>Revenue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PC-201201-004</dc:creator>
  <cp:keywords/>
  <dc:description/>
  <cp:lastModifiedBy>DROFFICE</cp:lastModifiedBy>
  <cp:revision/>
  <dcterms:created xsi:type="dcterms:W3CDTF">2013-10-17T19:15:06Z</dcterms:created>
  <dcterms:modified xsi:type="dcterms:W3CDTF">2021-12-20T18:33:52Z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0x0101008FF0C6BFC18E184BB8D5237132025082</vt:lpwstr>
  </property>
</Properties>
</file>