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skdentists.sharepoint.com/sites/CouncilAdministration/Shared Documents/Admin/Jaime &amp; Gord/Council Committees/Finance Committee/2024/Budget/"/>
    </mc:Choice>
  </mc:AlternateContent>
  <xr:revisionPtr revIDLastSave="0" documentId="8_{3D808388-E1FA-45F9-8D95-78F345C0099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udget vs. Actual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41" i="1" l="1"/>
  <c r="I53" i="1"/>
  <c r="I46" i="1"/>
  <c r="I42" i="1"/>
  <c r="I31" i="1"/>
  <c r="J63" i="1"/>
  <c r="K12" i="1"/>
  <c r="K8" i="1"/>
  <c r="E72" i="1"/>
  <c r="D72" i="1"/>
  <c r="E57" i="1"/>
  <c r="D57" i="1"/>
  <c r="D26" i="1"/>
  <c r="E20" i="1"/>
  <c r="D12" i="1"/>
  <c r="D11" i="1"/>
  <c r="E8" i="1"/>
  <c r="E7" i="1"/>
  <c r="H73" i="1"/>
  <c r="C73" i="1"/>
  <c r="I71" i="1"/>
  <c r="H71" i="1"/>
  <c r="H61" i="1"/>
  <c r="H56" i="1"/>
  <c r="H52" i="1"/>
  <c r="H46" i="1"/>
  <c r="H40" i="1"/>
  <c r="H33" i="1"/>
  <c r="H29" i="1"/>
  <c r="H19" i="1"/>
  <c r="H10" i="1"/>
  <c r="H21" i="1" s="1"/>
  <c r="H22" i="1" s="1"/>
  <c r="J74" i="1"/>
  <c r="J70" i="1"/>
  <c r="J69" i="1"/>
  <c r="J67" i="1"/>
  <c r="J66" i="1"/>
  <c r="J25" i="1"/>
  <c r="N9" i="1"/>
  <c r="I15" i="1"/>
  <c r="A3" i="1"/>
  <c r="G67" i="1"/>
  <c r="G71" i="1" s="1"/>
  <c r="G62" i="1"/>
  <c r="G60" i="1"/>
  <c r="G59" i="1"/>
  <c r="G58" i="1"/>
  <c r="G54" i="1"/>
  <c r="G56" i="1" s="1"/>
  <c r="G51" i="1"/>
  <c r="G50" i="1"/>
  <c r="G49" i="1"/>
  <c r="G48" i="1"/>
  <c r="N37" i="1" s="1"/>
  <c r="G45" i="1"/>
  <c r="G44" i="1"/>
  <c r="G43" i="1"/>
  <c r="G42" i="1"/>
  <c r="G39" i="1"/>
  <c r="G38" i="1"/>
  <c r="G37" i="1"/>
  <c r="G36" i="1"/>
  <c r="G32" i="1"/>
  <c r="G31" i="1"/>
  <c r="G33" i="1" s="1"/>
  <c r="G28" i="1"/>
  <c r="G27" i="1"/>
  <c r="G26" i="1"/>
  <c r="G25" i="1"/>
  <c r="G17" i="1"/>
  <c r="G16" i="1"/>
  <c r="G15" i="1"/>
  <c r="G14" i="1"/>
  <c r="G12" i="1"/>
  <c r="G11" i="1"/>
  <c r="G9" i="1"/>
  <c r="G8" i="1"/>
  <c r="G10" i="1" s="1"/>
  <c r="G7" i="1"/>
  <c r="B68" i="1"/>
  <c r="B71" i="1" s="1"/>
  <c r="B72" i="1" s="1"/>
  <c r="B73" i="1" s="1"/>
  <c r="F67" i="1"/>
  <c r="F71" i="1" s="1"/>
  <c r="F62" i="1"/>
  <c r="B62" i="1"/>
  <c r="B60" i="1"/>
  <c r="B59" i="1"/>
  <c r="B58" i="1"/>
  <c r="F57" i="1"/>
  <c r="F61" i="1" s="1"/>
  <c r="B57" i="1"/>
  <c r="C57" i="1" s="1"/>
  <c r="B55" i="1"/>
  <c r="F54" i="1"/>
  <c r="F56" i="1" s="1"/>
  <c r="B54" i="1"/>
  <c r="B53" i="1"/>
  <c r="P73" i="1" s="1"/>
  <c r="B51" i="1"/>
  <c r="P71" i="1" s="1"/>
  <c r="B50" i="1"/>
  <c r="P70" i="1" s="1"/>
  <c r="B49" i="1"/>
  <c r="P69" i="1" s="1"/>
  <c r="B48" i="1"/>
  <c r="P68" i="1" s="1"/>
  <c r="F47" i="1"/>
  <c r="F52" i="1" s="1"/>
  <c r="B47" i="1"/>
  <c r="F45" i="1"/>
  <c r="B45" i="1"/>
  <c r="F44" i="1"/>
  <c r="B44" i="1"/>
  <c r="B43" i="1"/>
  <c r="F42" i="1"/>
  <c r="B42" i="1"/>
  <c r="P42" i="1"/>
  <c r="F39" i="1"/>
  <c r="B39" i="1"/>
  <c r="F38" i="1"/>
  <c r="B38" i="1"/>
  <c r="F37" i="1"/>
  <c r="B37" i="1"/>
  <c r="F36" i="1"/>
  <c r="F40" i="1" s="1"/>
  <c r="B36" i="1"/>
  <c r="B34" i="1"/>
  <c r="P35" i="1" s="1"/>
  <c r="F32" i="1"/>
  <c r="B32" i="1"/>
  <c r="F31" i="1"/>
  <c r="B31" i="1"/>
  <c r="P30" i="1"/>
  <c r="B28" i="1"/>
  <c r="P28" i="1" s="1"/>
  <c r="B27" i="1"/>
  <c r="P27" i="1" s="1"/>
  <c r="B26" i="1"/>
  <c r="C26" i="1" s="1"/>
  <c r="I26" i="1" s="1"/>
  <c r="J26" i="1" s="1"/>
  <c r="K26" i="1" s="1"/>
  <c r="F25" i="1"/>
  <c r="P25" i="1" s="1"/>
  <c r="F20" i="1"/>
  <c r="B20" i="1"/>
  <c r="C20" i="1" s="1"/>
  <c r="J20" i="1" s="1"/>
  <c r="K20" i="1" s="1"/>
  <c r="B18" i="1"/>
  <c r="P18" i="1" s="1"/>
  <c r="B17" i="1"/>
  <c r="P17" i="1" s="1"/>
  <c r="B16" i="1"/>
  <c r="P16" i="1" s="1"/>
  <c r="B14" i="1"/>
  <c r="P14" i="1" s="1"/>
  <c r="F13" i="1"/>
  <c r="F19" i="1" s="1"/>
  <c r="F12" i="1"/>
  <c r="B12" i="1"/>
  <c r="C12" i="1" s="1"/>
  <c r="I12" i="1" s="1"/>
  <c r="J12" i="1" s="1"/>
  <c r="F11" i="1"/>
  <c r="B11" i="1"/>
  <c r="C11" i="1" s="1"/>
  <c r="I11" i="1" s="1"/>
  <c r="J11" i="1" s="1"/>
  <c r="K11" i="1" s="1"/>
  <c r="F9" i="1"/>
  <c r="B9" i="1"/>
  <c r="C9" i="1" s="1"/>
  <c r="F8" i="1"/>
  <c r="B8" i="1"/>
  <c r="C8" i="1" s="1"/>
  <c r="I8" i="1" s="1"/>
  <c r="J8" i="1" s="1"/>
  <c r="F7" i="1"/>
  <c r="B7" i="1"/>
  <c r="C7" i="1" s="1"/>
  <c r="P6" i="1"/>
  <c r="E73" i="1" l="1"/>
  <c r="D73" i="1"/>
  <c r="I7" i="1"/>
  <c r="D7" i="1"/>
  <c r="I9" i="1"/>
  <c r="J9" i="1" s="1"/>
  <c r="K9" i="1" s="1"/>
  <c r="E9" i="1"/>
  <c r="E12" i="1"/>
  <c r="D9" i="1"/>
  <c r="D20" i="1"/>
  <c r="D8" i="1"/>
  <c r="E11" i="1"/>
  <c r="E26" i="1"/>
  <c r="F10" i="1"/>
  <c r="G46" i="1"/>
  <c r="N35" i="1" s="1"/>
  <c r="G52" i="1"/>
  <c r="F33" i="1"/>
  <c r="H64" i="1"/>
  <c r="H65" i="1" s="1"/>
  <c r="H75" i="1" s="1"/>
  <c r="G29" i="1"/>
  <c r="N34" i="1" s="1"/>
  <c r="N36" i="1" s="1"/>
  <c r="N38" i="1" s="1"/>
  <c r="I10" i="1"/>
  <c r="G19" i="1"/>
  <c r="G21" i="1" s="1"/>
  <c r="G22" i="1" s="1"/>
  <c r="F46" i="1"/>
  <c r="G40" i="1"/>
  <c r="G61" i="1"/>
  <c r="G64" i="1"/>
  <c r="F21" i="1"/>
  <c r="F22" i="1" s="1"/>
  <c r="F29" i="1"/>
  <c r="C43" i="1"/>
  <c r="C54" i="1"/>
  <c r="C62" i="1"/>
  <c r="I72" i="1"/>
  <c r="C10" i="1"/>
  <c r="I13" i="1"/>
  <c r="J7" i="1"/>
  <c r="K7" i="1" s="1"/>
  <c r="C32" i="1"/>
  <c r="C36" i="1"/>
  <c r="C38" i="1"/>
  <c r="C44" i="1"/>
  <c r="C47" i="1"/>
  <c r="C42" i="1"/>
  <c r="C31" i="1"/>
  <c r="C37" i="1"/>
  <c r="C39" i="1"/>
  <c r="C45" i="1"/>
  <c r="G72" i="1"/>
  <c r="G73" i="1" s="1"/>
  <c r="C50" i="1"/>
  <c r="C58" i="1"/>
  <c r="C18" i="1"/>
  <c r="I57" i="1"/>
  <c r="I47" i="1"/>
  <c r="C27" i="1"/>
  <c r="C51" i="1"/>
  <c r="C55" i="1"/>
  <c r="C59" i="1"/>
  <c r="C16" i="1"/>
  <c r="C28" i="1"/>
  <c r="C48" i="1"/>
  <c r="C60" i="1"/>
  <c r="C68" i="1"/>
  <c r="C14" i="1"/>
  <c r="C17" i="1"/>
  <c r="C34" i="1"/>
  <c r="C49" i="1"/>
  <c r="C53" i="1"/>
  <c r="P13" i="1"/>
  <c r="P7" i="1"/>
  <c r="P12" i="1"/>
  <c r="B61" i="1"/>
  <c r="P40" i="1"/>
  <c r="P8" i="1"/>
  <c r="B19" i="1"/>
  <c r="P19" i="1" s="1"/>
  <c r="P37" i="1"/>
  <c r="P65" i="1"/>
  <c r="B52" i="1"/>
  <c r="P72" i="1" s="1"/>
  <c r="P32" i="1"/>
  <c r="P74" i="1"/>
  <c r="P43" i="1"/>
  <c r="P9" i="1"/>
  <c r="P20" i="1"/>
  <c r="P39" i="1"/>
  <c r="B46" i="1"/>
  <c r="P67" i="1"/>
  <c r="P45" i="1"/>
  <c r="P11" i="1"/>
  <c r="B33" i="1"/>
  <c r="B29" i="1"/>
  <c r="B56" i="1"/>
  <c r="B10" i="1"/>
  <c r="P26" i="1"/>
  <c r="P33" i="1"/>
  <c r="B40" i="1"/>
  <c r="F72" i="1"/>
  <c r="P44" i="1"/>
  <c r="I17" i="1" l="1"/>
  <c r="J17" i="1" s="1"/>
  <c r="K17" i="1" s="1"/>
  <c r="E17" i="1"/>
  <c r="D17" i="1"/>
  <c r="I55" i="1"/>
  <c r="J55" i="1" s="1"/>
  <c r="K55" i="1" s="1"/>
  <c r="E55" i="1"/>
  <c r="D55" i="1"/>
  <c r="E31" i="1"/>
  <c r="D31" i="1"/>
  <c r="I54" i="1"/>
  <c r="J54" i="1" s="1"/>
  <c r="K54" i="1" s="1"/>
  <c r="E54" i="1"/>
  <c r="D54" i="1"/>
  <c r="E53" i="1"/>
  <c r="D53" i="1"/>
  <c r="I14" i="1"/>
  <c r="J14" i="1" s="1"/>
  <c r="K14" i="1" s="1"/>
  <c r="E14" i="1"/>
  <c r="D14" i="1"/>
  <c r="I28" i="1"/>
  <c r="J28" i="1" s="1"/>
  <c r="K28" i="1" s="1"/>
  <c r="E28" i="1"/>
  <c r="D28" i="1"/>
  <c r="I51" i="1"/>
  <c r="J51" i="1" s="1"/>
  <c r="K51" i="1" s="1"/>
  <c r="E51" i="1"/>
  <c r="D51" i="1"/>
  <c r="I18" i="1"/>
  <c r="J18" i="1" s="1"/>
  <c r="K18" i="1" s="1"/>
  <c r="E18" i="1"/>
  <c r="D18" i="1"/>
  <c r="J45" i="1"/>
  <c r="K45" i="1" s="1"/>
  <c r="E45" i="1"/>
  <c r="D45" i="1"/>
  <c r="E42" i="1"/>
  <c r="D42" i="1"/>
  <c r="E36" i="1"/>
  <c r="D36" i="1"/>
  <c r="J10" i="1"/>
  <c r="K10" i="1" s="1"/>
  <c r="E10" i="1"/>
  <c r="D10" i="1"/>
  <c r="I43" i="1"/>
  <c r="J43" i="1" s="1"/>
  <c r="K43" i="1" s="1"/>
  <c r="E43" i="1"/>
  <c r="D43" i="1"/>
  <c r="I49" i="1"/>
  <c r="J49" i="1" s="1"/>
  <c r="K49" i="1" s="1"/>
  <c r="E49" i="1"/>
  <c r="D49" i="1"/>
  <c r="E68" i="1"/>
  <c r="D68" i="1"/>
  <c r="I16" i="1"/>
  <c r="J16" i="1" s="1"/>
  <c r="K16" i="1" s="1"/>
  <c r="D16" i="1"/>
  <c r="E16" i="1"/>
  <c r="I27" i="1"/>
  <c r="E27" i="1"/>
  <c r="D27" i="1"/>
  <c r="I58" i="1"/>
  <c r="J58" i="1" s="1"/>
  <c r="K58" i="1" s="1"/>
  <c r="E58" i="1"/>
  <c r="D58" i="1"/>
  <c r="E39" i="1"/>
  <c r="D39" i="1"/>
  <c r="E47" i="1"/>
  <c r="D47" i="1"/>
  <c r="I32" i="1"/>
  <c r="E32" i="1"/>
  <c r="D32" i="1"/>
  <c r="N40" i="1"/>
  <c r="I48" i="1"/>
  <c r="E48" i="1"/>
  <c r="D48" i="1"/>
  <c r="O37" i="1"/>
  <c r="I38" i="1"/>
  <c r="J38" i="1" s="1"/>
  <c r="K38" i="1" s="1"/>
  <c r="E38" i="1"/>
  <c r="D38" i="1"/>
  <c r="I34" i="1"/>
  <c r="J34" i="1" s="1"/>
  <c r="K34" i="1" s="1"/>
  <c r="E34" i="1"/>
  <c r="D34" i="1"/>
  <c r="I60" i="1"/>
  <c r="J60" i="1" s="1"/>
  <c r="K60" i="1" s="1"/>
  <c r="E60" i="1"/>
  <c r="D60" i="1"/>
  <c r="I59" i="1"/>
  <c r="J59" i="1" s="1"/>
  <c r="K59" i="1" s="1"/>
  <c r="E59" i="1"/>
  <c r="D59" i="1"/>
  <c r="I50" i="1"/>
  <c r="J50" i="1" s="1"/>
  <c r="K50" i="1" s="1"/>
  <c r="E50" i="1"/>
  <c r="D50" i="1"/>
  <c r="I37" i="1"/>
  <c r="J37" i="1" s="1"/>
  <c r="K37" i="1" s="1"/>
  <c r="E37" i="1"/>
  <c r="D37" i="1"/>
  <c r="I44" i="1"/>
  <c r="J44" i="1" s="1"/>
  <c r="K44" i="1" s="1"/>
  <c r="E44" i="1"/>
  <c r="D44" i="1"/>
  <c r="I62" i="1"/>
  <c r="J62" i="1" s="1"/>
  <c r="K62" i="1" s="1"/>
  <c r="E62" i="1"/>
  <c r="D62" i="1"/>
  <c r="F64" i="1"/>
  <c r="C61" i="1"/>
  <c r="G65" i="1"/>
  <c r="G75" i="1" s="1"/>
  <c r="J57" i="1"/>
  <c r="K57" i="1" s="1"/>
  <c r="J31" i="1"/>
  <c r="K31" i="1" s="1"/>
  <c r="C33" i="1"/>
  <c r="J68" i="1"/>
  <c r="K68" i="1" s="1"/>
  <c r="C71" i="1"/>
  <c r="C29" i="1"/>
  <c r="C46" i="1"/>
  <c r="I36" i="1"/>
  <c r="C40" i="1"/>
  <c r="J72" i="1"/>
  <c r="I73" i="1"/>
  <c r="J73" i="1" s="1"/>
  <c r="C19" i="1"/>
  <c r="C56" i="1"/>
  <c r="F65" i="1"/>
  <c r="F73" i="1"/>
  <c r="J47" i="1"/>
  <c r="K47" i="1" s="1"/>
  <c r="C52" i="1"/>
  <c r="I33" i="1"/>
  <c r="J32" i="1"/>
  <c r="K32" i="1" s="1"/>
  <c r="I39" i="1"/>
  <c r="B64" i="1"/>
  <c r="P34" i="1"/>
  <c r="P36" i="1" s="1"/>
  <c r="P38" i="1" s="1"/>
  <c r="P29" i="1"/>
  <c r="P10" i="1"/>
  <c r="P41" i="1"/>
  <c r="P66" i="1"/>
  <c r="B21" i="1"/>
  <c r="B22" i="1" s="1"/>
  <c r="Q35" i="1" l="1"/>
  <c r="E52" i="1"/>
  <c r="D52" i="1"/>
  <c r="O35" i="1"/>
  <c r="E46" i="1"/>
  <c r="D46" i="1"/>
  <c r="I52" i="1"/>
  <c r="J52" i="1" s="1"/>
  <c r="K52" i="1" s="1"/>
  <c r="E56" i="1"/>
  <c r="D56" i="1"/>
  <c r="I19" i="1"/>
  <c r="E29" i="1"/>
  <c r="D29" i="1"/>
  <c r="O34" i="1"/>
  <c r="O36" i="1" s="1"/>
  <c r="O38" i="1" s="1"/>
  <c r="O40" i="1" s="1"/>
  <c r="E61" i="1"/>
  <c r="D61" i="1"/>
  <c r="C21" i="1"/>
  <c r="E19" i="1"/>
  <c r="D19" i="1"/>
  <c r="D40" i="1"/>
  <c r="E40" i="1"/>
  <c r="J71" i="1"/>
  <c r="K71" i="1" s="1"/>
  <c r="E71" i="1"/>
  <c r="D71" i="1"/>
  <c r="J48" i="1"/>
  <c r="K48" i="1" s="1"/>
  <c r="Q37" i="1"/>
  <c r="E33" i="1"/>
  <c r="D33" i="1"/>
  <c r="J33" i="1"/>
  <c r="K33" i="1" s="1"/>
  <c r="I61" i="1"/>
  <c r="J61" i="1" s="1"/>
  <c r="K61" i="1" s="1"/>
  <c r="C64" i="1"/>
  <c r="J19" i="1"/>
  <c r="K19" i="1" s="1"/>
  <c r="I21" i="1"/>
  <c r="I22" i="1" s="1"/>
  <c r="J27" i="1"/>
  <c r="K27" i="1" s="1"/>
  <c r="I29" i="1"/>
  <c r="Q34" i="1" s="1"/>
  <c r="Q36" i="1" s="1"/>
  <c r="J36" i="1"/>
  <c r="K36" i="1" s="1"/>
  <c r="I40" i="1"/>
  <c r="J40" i="1" s="1"/>
  <c r="K40" i="1" s="1"/>
  <c r="J53" i="1"/>
  <c r="K53" i="1" s="1"/>
  <c r="I56" i="1"/>
  <c r="J56" i="1" s="1"/>
  <c r="K56" i="1" s="1"/>
  <c r="F75" i="1"/>
  <c r="J42" i="1"/>
  <c r="K42" i="1" s="1"/>
  <c r="J39" i="1"/>
  <c r="K39" i="1" s="1"/>
  <c r="P21" i="1"/>
  <c r="B65" i="1"/>
  <c r="B75" i="1" s="1"/>
  <c r="P22" i="1"/>
  <c r="J46" i="1" l="1"/>
  <c r="K46" i="1" s="1"/>
  <c r="C22" i="1"/>
  <c r="E21" i="1"/>
  <c r="D21" i="1"/>
  <c r="N44" i="1"/>
  <c r="E64" i="1"/>
  <c r="D64" i="1"/>
  <c r="Q38" i="1"/>
  <c r="J21" i="1"/>
  <c r="K21" i="1" s="1"/>
  <c r="I64" i="1"/>
  <c r="I65" i="1" s="1"/>
  <c r="I75" i="1" s="1"/>
  <c r="J29" i="1"/>
  <c r="K29" i="1" s="1"/>
  <c r="J22" i="1"/>
  <c r="K22" i="1" s="1"/>
  <c r="P75" i="1"/>
  <c r="E22" i="1" l="1"/>
  <c r="D22" i="1"/>
  <c r="C65" i="1"/>
  <c r="Q40" i="1"/>
  <c r="J64" i="1"/>
  <c r="K64" i="1" s="1"/>
  <c r="J65" i="1"/>
  <c r="K65" i="1" s="1"/>
  <c r="C75" i="1" l="1"/>
  <c r="E65" i="1"/>
  <c r="D65" i="1"/>
  <c r="E75" i="1" l="1"/>
  <c r="D75" i="1"/>
  <c r="J75" i="1"/>
  <c r="K75" i="1" s="1"/>
</calcChain>
</file>

<file path=xl/sharedStrings.xml><?xml version="1.0" encoding="utf-8"?>
<sst xmlns="http://schemas.openxmlformats.org/spreadsheetml/2006/main" count="119" uniqueCount="112">
  <si>
    <t>Total</t>
  </si>
  <si>
    <t>Remaining</t>
  </si>
  <si>
    <t xml:space="preserve">   4000 Fees</t>
  </si>
  <si>
    <t xml:space="preserve">      4005 Members/Associates</t>
  </si>
  <si>
    <t xml:space="preserve">      4010 Corporations</t>
  </si>
  <si>
    <t xml:space="preserve">      4015 Fee Guide</t>
  </si>
  <si>
    <t xml:space="preserve">   Total 4000 Fees</t>
  </si>
  <si>
    <t xml:space="preserve">   4040 PTP (SK Dental)</t>
  </si>
  <si>
    <t xml:space="preserve">   4050 Mediation/Legal Recovery</t>
  </si>
  <si>
    <t xml:space="preserve">   4100 Conference</t>
  </si>
  <si>
    <t xml:space="preserve">      4105 Member Fees</t>
  </si>
  <si>
    <t xml:space="preserve">      4115 Exhibitors</t>
  </si>
  <si>
    <t xml:space="preserve">      4120 Sponsors/Advertisers</t>
  </si>
  <si>
    <t xml:space="preserve">      4125 Other Conference Revenue</t>
  </si>
  <si>
    <t xml:space="preserve">   Total 4100 Conference</t>
  </si>
  <si>
    <t xml:space="preserve">   4150 Misc - other income</t>
  </si>
  <si>
    <t>Total Income</t>
  </si>
  <si>
    <t>Gross Profit</t>
  </si>
  <si>
    <t>Expenses</t>
  </si>
  <si>
    <t xml:space="preserve">   5000 Compensation</t>
  </si>
  <si>
    <t xml:space="preserve">      5010 Wages</t>
  </si>
  <si>
    <t xml:space="preserve">      5020 Employee Benefits</t>
  </si>
  <si>
    <t xml:space="preserve">      5025 Statutory deductions</t>
  </si>
  <si>
    <t xml:space="preserve">   Total 5000 Compensation</t>
  </si>
  <si>
    <t xml:space="preserve">   5100 Overhead Costs</t>
  </si>
  <si>
    <t xml:space="preserve">      5105 Rent</t>
  </si>
  <si>
    <t xml:space="preserve">      5110 Insurance Expense</t>
  </si>
  <si>
    <t xml:space="preserve">   Total 5100 Overhead Costs</t>
  </si>
  <si>
    <t xml:space="preserve">   5120 Other expenses</t>
  </si>
  <si>
    <t xml:space="preserve">   5200 Administration</t>
  </si>
  <si>
    <t xml:space="preserve">      5205 Office Supplies</t>
  </si>
  <si>
    <t xml:space="preserve">      5210 Communication</t>
  </si>
  <si>
    <t xml:space="preserve">      5215 Postage/Courier</t>
  </si>
  <si>
    <t xml:space="preserve">      5220 Subscription/Memberships</t>
  </si>
  <si>
    <t xml:space="preserve">   Total 5200 Administration</t>
  </si>
  <si>
    <t xml:space="preserve">   5300 Professional Services</t>
  </si>
  <si>
    <t xml:space="preserve">      5305 Reg - Legal/PCC</t>
  </si>
  <si>
    <t xml:space="preserve">      5310 Members- PAR, Impact</t>
  </si>
  <si>
    <t xml:space="preserve">      5315 Admin- Finance/IT</t>
  </si>
  <si>
    <t xml:space="preserve">      5320 Council - Honoriums/Chair</t>
  </si>
  <si>
    <t xml:space="preserve">   Total 5300 Professional Services</t>
  </si>
  <si>
    <t xml:space="preserve">   5400 Donations</t>
  </si>
  <si>
    <t xml:space="preserve">      5405 CDA</t>
  </si>
  <si>
    <t xml:space="preserve">      5410 CDAC</t>
  </si>
  <si>
    <t xml:space="preserve">      5415 CDRAF</t>
  </si>
  <si>
    <t xml:space="preserve">      5425 Other Donations</t>
  </si>
  <si>
    <t xml:space="preserve">   Total 5400 Donations</t>
  </si>
  <si>
    <t xml:space="preserve">   5500 Travel</t>
  </si>
  <si>
    <t xml:space="preserve">      5505 Council/per diems</t>
  </si>
  <si>
    <t xml:space="preserve">      5510 Staff</t>
  </si>
  <si>
    <t xml:space="preserve">   Total 5500 Travel</t>
  </si>
  <si>
    <t xml:space="preserve">   5600 Conference (E)</t>
  </si>
  <si>
    <t xml:space="preserve">      5605 Banquet</t>
  </si>
  <si>
    <t xml:space="preserve">      5615 Facility expenses</t>
  </si>
  <si>
    <t xml:space="preserve">      5620 Other expenses</t>
  </si>
  <si>
    <t xml:space="preserve">   Total 5600 Conference (E)</t>
  </si>
  <si>
    <t xml:space="preserve">   5700 Bank charges</t>
  </si>
  <si>
    <t>Total Expenses</t>
  </si>
  <si>
    <t>Net Operating Income</t>
  </si>
  <si>
    <t>Other Income</t>
  </si>
  <si>
    <t xml:space="preserve">   4200 Investment Income</t>
  </si>
  <si>
    <t xml:space="preserve">      4210 Interest Revenue</t>
  </si>
  <si>
    <t>Total Other Income</t>
  </si>
  <si>
    <t>Net Other Income</t>
  </si>
  <si>
    <t>Net Income</t>
  </si>
  <si>
    <t>College of Dental Surgeons of Saskatchewan</t>
  </si>
  <si>
    <t xml:space="preserve">     4110 Support Function fees</t>
  </si>
  <si>
    <t xml:space="preserve">   5750 Amortization</t>
  </si>
  <si>
    <t xml:space="preserve">     4215 Dividend Income</t>
  </si>
  <si>
    <t>Revenue</t>
  </si>
  <si>
    <t>2022 A</t>
  </si>
  <si>
    <t xml:space="preserve">    4220 Change in unrealized gains</t>
  </si>
  <si>
    <t>Total 4200 Investment Income</t>
  </si>
  <si>
    <t>2023 Est</t>
  </si>
  <si>
    <t>2023 (10) A</t>
  </si>
  <si>
    <t>2023 (12) Pl</t>
  </si>
  <si>
    <t>2023 (12) Est</t>
  </si>
  <si>
    <t>2024 PL</t>
  </si>
  <si>
    <t>2024 Budget V1</t>
  </si>
  <si>
    <t>Assumptions 2023</t>
  </si>
  <si>
    <t>Comp / Mth</t>
  </si>
  <si>
    <t>Nov Sev</t>
  </si>
  <si>
    <t>Variuos 2/12ths</t>
  </si>
  <si>
    <t>Registrar 3 mths</t>
  </si>
  <si>
    <t>Honorariums</t>
  </si>
  <si>
    <t>Assumptions 2024</t>
  </si>
  <si>
    <t>New Mem fee</t>
  </si>
  <si>
    <t>Comp  LSP %</t>
  </si>
  <si>
    <t>New Rent</t>
  </si>
  <si>
    <t>Admin</t>
  </si>
  <si>
    <t>Prof fees</t>
  </si>
  <si>
    <t>CDA fees</t>
  </si>
  <si>
    <t>Donations</t>
  </si>
  <si>
    <t>Travel</t>
  </si>
  <si>
    <t>Conference</t>
  </si>
  <si>
    <t>Var to Est $</t>
  </si>
  <si>
    <t>Var to Est %</t>
  </si>
  <si>
    <t>TotalComp</t>
  </si>
  <si>
    <t>Staff</t>
  </si>
  <si>
    <t>Prof Fees</t>
  </si>
  <si>
    <t>Sub Total</t>
  </si>
  <si>
    <t>% of total Expense</t>
  </si>
  <si>
    <t>"Lost" Revenue</t>
  </si>
  <si>
    <t>Fee guide Incr</t>
  </si>
  <si>
    <t>17% Timing</t>
  </si>
  <si>
    <t>New Mem Eqivalent</t>
  </si>
  <si>
    <t>PERP (9/12)</t>
  </si>
  <si>
    <t>EA</t>
  </si>
  <si>
    <t>Insur, pension/benfts</t>
  </si>
  <si>
    <t>Registrar missed time</t>
  </si>
  <si>
    <t>Travel Umb &amp; CDP</t>
  </si>
  <si>
    <t>decrease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</si>
</sst>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#,##0\ _€"/>
    <numFmt numFmtId="165" formatCode="#,##0.00\ _€"/>
    <numFmt numFmtId="166" formatCode="&quot;$&quot;* #,##0.00\ _€"/>
    <numFmt numFmtId="167" formatCode="[$-1009]d/mmm/yy;@"/>
    <numFmt numFmtId="168" formatCode="&quot;$&quot;#,##0"/>
    <numFmt numFmtId="169" formatCode="&quot;$&quot;#,##0.00"/>
    <numFmt numFmtId="170" formatCode="0.0%"/>
  </numFmts>
  <fonts count="14" x14ac:knownFonts="1">
    <font>
      <sz val="11"/>
      <color indexed="8"/>
      <name val="Calibri"/>
      <family val="2"/>
      <scheme val="minor"/>
    </font>
    <font>
      <b/>
      <sz val="8"/>
      <color indexed="8"/>
      <name val="Arial"/>
    </font>
    <font>
      <sz val="8"/>
      <color indexed="8"/>
      <name val="Arial"/>
    </font>
    <font>
      <sz val="11"/>
      <color indexed="8"/>
      <name val="Calibri"/>
      <family val="2"/>
      <scheme val="minor"/>
    </font>
    <font>
      <b/>
      <sz val="14"/>
      <color indexed="8"/>
      <name val="Arial"/>
      <family val="2"/>
    </font>
    <font>
      <sz val="14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164" fontId="2" fillId="0" borderId="0" xfId="0" applyNumberFormat="1" applyFont="1" applyAlignment="1">
      <alignment wrapText="1"/>
    </xf>
    <xf numFmtId="165" fontId="2" fillId="0" borderId="0" xfId="0" applyNumberFormat="1" applyFont="1" applyAlignment="1">
      <alignment horizontal="right" wrapText="1"/>
    </xf>
    <xf numFmtId="166" fontId="1" fillId="0" borderId="0" xfId="0" applyNumberFormat="1" applyFont="1" applyAlignment="1">
      <alignment horizontal="right" wrapText="1"/>
    </xf>
    <xf numFmtId="1" fontId="2" fillId="0" borderId="0" xfId="0" applyNumberFormat="1" applyFont="1" applyAlignment="1">
      <alignment horizontal="right" wrapText="1"/>
    </xf>
    <xf numFmtId="0" fontId="6" fillId="0" borderId="0" xfId="0" applyFont="1"/>
    <xf numFmtId="0" fontId="8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5" fillId="0" borderId="0" xfId="0" applyFont="1"/>
    <xf numFmtId="0" fontId="10" fillId="0" borderId="0" xfId="0" applyFont="1" applyAlignment="1">
      <alignment horizontal="left" wrapText="1"/>
    </xf>
    <xf numFmtId="168" fontId="0" fillId="0" borderId="0" xfId="0" applyNumberFormat="1"/>
    <xf numFmtId="168" fontId="7" fillId="0" borderId="0" xfId="0" applyNumberFormat="1" applyFont="1" applyAlignment="1">
      <alignment horizontal="right" wrapText="1"/>
    </xf>
    <xf numFmtId="0" fontId="8" fillId="0" borderId="1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168" fontId="9" fillId="0" borderId="0" xfId="0" applyNumberFormat="1" applyFont="1" applyAlignment="1">
      <alignment wrapText="1"/>
    </xf>
    <xf numFmtId="168" fontId="9" fillId="0" borderId="0" xfId="0" applyNumberFormat="1" applyFont="1" applyAlignment="1">
      <alignment horizontal="right" wrapText="1"/>
    </xf>
    <xf numFmtId="168" fontId="8" fillId="0" borderId="2" xfId="0" applyNumberFormat="1" applyFont="1" applyBorder="1" applyAlignment="1">
      <alignment horizontal="right" wrapText="1"/>
    </xf>
    <xf numFmtId="168" fontId="8" fillId="0" borderId="3" xfId="0" applyNumberFormat="1" applyFont="1" applyBorder="1" applyAlignment="1">
      <alignment horizontal="right" wrapText="1"/>
    </xf>
    <xf numFmtId="168" fontId="9" fillId="0" borderId="0" xfId="0" applyNumberFormat="1" applyFont="1"/>
    <xf numFmtId="168" fontId="9" fillId="0" borderId="0" xfId="1" applyNumberFormat="1" applyFont="1"/>
    <xf numFmtId="168" fontId="4" fillId="0" borderId="2" xfId="0" applyNumberFormat="1" applyFont="1" applyBorder="1" applyAlignment="1">
      <alignment horizontal="right" wrapText="1"/>
    </xf>
    <xf numFmtId="168" fontId="1" fillId="0" borderId="0" xfId="0" applyNumberFormat="1" applyFont="1" applyAlignment="1">
      <alignment horizontal="right" wrapText="1"/>
    </xf>
    <xf numFmtId="168" fontId="2" fillId="0" borderId="0" xfId="0" applyNumberFormat="1" applyFont="1" applyAlignment="1">
      <alignment wrapText="1"/>
    </xf>
    <xf numFmtId="168" fontId="9" fillId="0" borderId="1" xfId="0" applyNumberFormat="1" applyFont="1" applyBorder="1" applyAlignment="1">
      <alignment wrapText="1"/>
    </xf>
    <xf numFmtId="168" fontId="9" fillId="0" borderId="1" xfId="0" applyNumberFormat="1" applyFont="1" applyBorder="1" applyAlignment="1">
      <alignment horizontal="right" wrapText="1"/>
    </xf>
    <xf numFmtId="168" fontId="10" fillId="0" borderId="2" xfId="0" applyNumberFormat="1" applyFont="1" applyBorder="1" applyAlignment="1">
      <alignment horizontal="right" wrapText="1"/>
    </xf>
    <xf numFmtId="168" fontId="10" fillId="0" borderId="3" xfId="0" applyNumberFormat="1" applyFont="1" applyBorder="1" applyAlignment="1">
      <alignment horizontal="right" wrapText="1"/>
    </xf>
    <xf numFmtId="168" fontId="8" fillId="0" borderId="4" xfId="0" applyNumberFormat="1" applyFont="1" applyBorder="1" applyAlignment="1">
      <alignment horizontal="right" wrapText="1"/>
    </xf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/>
    <xf numFmtId="9" fontId="6" fillId="0" borderId="0" xfId="0" applyNumberFormat="1" applyFont="1"/>
    <xf numFmtId="168" fontId="6" fillId="0" borderId="0" xfId="0" applyNumberFormat="1" applyFont="1"/>
    <xf numFmtId="10" fontId="6" fillId="0" borderId="0" xfId="0" applyNumberFormat="1" applyFont="1"/>
    <xf numFmtId="168" fontId="6" fillId="0" borderId="4" xfId="0" applyNumberFormat="1" applyFont="1" applyBorder="1"/>
    <xf numFmtId="168" fontId="9" fillId="0" borderId="2" xfId="0" applyNumberFormat="1" applyFont="1" applyBorder="1" applyAlignment="1">
      <alignment horizontal="right" wrapText="1"/>
    </xf>
    <xf numFmtId="168" fontId="9" fillId="0" borderId="3" xfId="0" applyNumberFormat="1" applyFont="1" applyBorder="1" applyAlignment="1">
      <alignment horizontal="right" wrapText="1"/>
    </xf>
    <xf numFmtId="168" fontId="12" fillId="0" borderId="0" xfId="0" applyNumberFormat="1" applyFont="1"/>
    <xf numFmtId="168" fontId="12" fillId="0" borderId="4" xfId="0" applyNumberFormat="1" applyFont="1" applyBorder="1"/>
    <xf numFmtId="168" fontId="12" fillId="0" borderId="3" xfId="0" applyNumberFormat="1" applyFont="1" applyBorder="1"/>
    <xf numFmtId="168" fontId="13" fillId="0" borderId="0" xfId="0" applyNumberFormat="1" applyFont="1"/>
    <xf numFmtId="168" fontId="13" fillId="0" borderId="3" xfId="0" applyNumberFormat="1" applyFont="1" applyBorder="1"/>
    <xf numFmtId="9" fontId="9" fillId="0" borderId="0" xfId="0" applyNumberFormat="1" applyFont="1" applyAlignment="1">
      <alignment horizontal="right" wrapText="1"/>
    </xf>
    <xf numFmtId="9" fontId="8" fillId="0" borderId="3" xfId="0" applyNumberFormat="1" applyFont="1" applyBorder="1" applyAlignment="1">
      <alignment horizontal="right" wrapText="1"/>
    </xf>
    <xf numFmtId="9" fontId="10" fillId="0" borderId="3" xfId="0" applyNumberFormat="1" applyFont="1" applyBorder="1" applyAlignment="1">
      <alignment horizontal="right" wrapText="1"/>
    </xf>
    <xf numFmtId="168" fontId="8" fillId="0" borderId="0" xfId="0" applyNumberFormat="1" applyFont="1" applyAlignment="1">
      <alignment horizontal="center" wrapText="1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9" fontId="12" fillId="0" borderId="0" xfId="0" applyNumberFormat="1" applyFont="1"/>
    <xf numFmtId="9" fontId="11" fillId="0" borderId="0" xfId="0" applyNumberFormat="1" applyFont="1"/>
    <xf numFmtId="168" fontId="6" fillId="2" borderId="0" xfId="0" applyNumberFormat="1" applyFont="1" applyFill="1"/>
    <xf numFmtId="168" fontId="8" fillId="2" borderId="1" xfId="0" applyNumberFormat="1" applyFont="1" applyFill="1" applyBorder="1" applyAlignment="1">
      <alignment horizontal="center" wrapText="1"/>
    </xf>
    <xf numFmtId="168" fontId="8" fillId="2" borderId="2" xfId="0" applyNumberFormat="1" applyFont="1" applyFill="1" applyBorder="1" applyAlignment="1">
      <alignment horizontal="right" wrapText="1"/>
    </xf>
    <xf numFmtId="168" fontId="4" fillId="2" borderId="2" xfId="0" applyNumberFormat="1" applyFont="1" applyFill="1" applyBorder="1" applyAlignment="1">
      <alignment horizontal="right" wrapText="1"/>
    </xf>
    <xf numFmtId="168" fontId="10" fillId="2" borderId="2" xfId="0" applyNumberFormat="1" applyFont="1" applyFill="1" applyBorder="1" applyAlignment="1">
      <alignment horizontal="right" wrapText="1"/>
    </xf>
    <xf numFmtId="168" fontId="8" fillId="2" borderId="4" xfId="0" applyNumberFormat="1" applyFont="1" applyFill="1" applyBorder="1" applyAlignment="1">
      <alignment horizontal="right" wrapText="1"/>
    </xf>
    <xf numFmtId="168" fontId="9" fillId="2" borderId="0" xfId="0" applyNumberFormat="1" applyFont="1" applyFill="1" applyAlignment="1">
      <alignment horizontal="right" wrapText="1"/>
    </xf>
    <xf numFmtId="168" fontId="10" fillId="2" borderId="3" xfId="0" applyNumberFormat="1" applyFont="1" applyFill="1" applyBorder="1" applyAlignment="1">
      <alignment horizontal="right" wrapText="1"/>
    </xf>
    <xf numFmtId="168" fontId="8" fillId="3" borderId="0" xfId="0" applyNumberFormat="1" applyFont="1" applyFill="1" applyAlignment="1">
      <alignment wrapText="1"/>
    </xf>
    <xf numFmtId="169" fontId="0" fillId="0" borderId="0" xfId="0" applyNumberFormat="1"/>
    <xf numFmtId="170" fontId="12" fillId="0" borderId="0" xfId="0" applyNumberFormat="1" applyFont="1"/>
    <xf numFmtId="0" fontId="11" fillId="0" borderId="0" xfId="0" applyFont="1"/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67" fontId="10" fillId="0" borderId="0" xfId="0" applyNumberFormat="1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79"/>
  <sheetViews>
    <sheetView tabSelected="1" workbookViewId="0">
      <pane xSplit="1" ySplit="4" topLeftCell="B24" activePane="bottomRight" state="frozen"/>
      <selection pane="topRight" activeCell="B1" sqref="B1"/>
      <selection pane="bottomLeft" activeCell="A5" sqref="A5"/>
      <selection pane="bottomRight" activeCell="N23" sqref="N23"/>
    </sheetView>
  </sheetViews>
  <sheetFormatPr defaultRowHeight="15.75" x14ac:dyDescent="0.25"/>
  <cols>
    <col min="1" max="1" width="38.85546875" customWidth="1"/>
    <col min="2" max="3" width="16.7109375" customWidth="1"/>
    <col min="4" max="5" width="12.7109375" customWidth="1"/>
    <col min="6" max="7" width="16.7109375" customWidth="1"/>
    <col min="8" max="8" width="16.7109375" hidden="1" customWidth="1"/>
    <col min="9" max="9" width="16.7109375" style="36" customWidth="1"/>
    <col min="10" max="11" width="12.7109375" style="7" customWidth="1"/>
    <col min="12" max="12" width="16.7109375" customWidth="1"/>
    <col min="13" max="13" width="20.5703125" customWidth="1"/>
    <col min="14" max="15" width="16.7109375" customWidth="1"/>
    <col min="16" max="16" width="16.7109375" hidden="1" customWidth="1"/>
    <col min="17" max="17" width="12.5703125" customWidth="1"/>
    <col min="18" max="19" width="15.42578125" bestFit="1" customWidth="1"/>
    <col min="20" max="20" width="12.7109375" bestFit="1" customWidth="1"/>
    <col min="21" max="21" width="10.140625" bestFit="1" customWidth="1"/>
  </cols>
  <sheetData>
    <row r="1" spans="1:22" ht="18.75" x14ac:dyDescent="0.3">
      <c r="A1" s="66" t="s">
        <v>65</v>
      </c>
      <c r="B1" s="67"/>
      <c r="C1" s="67"/>
      <c r="D1" s="67"/>
      <c r="E1" s="67"/>
      <c r="F1" s="67"/>
    </row>
    <row r="2" spans="1:22" ht="18.75" x14ac:dyDescent="0.3">
      <c r="A2" s="66" t="s">
        <v>78</v>
      </c>
      <c r="B2" s="67"/>
      <c r="C2" s="67"/>
      <c r="D2" s="67"/>
      <c r="E2" s="67"/>
      <c r="F2" s="67"/>
    </row>
    <row r="3" spans="1:22" ht="18.75" x14ac:dyDescent="0.3">
      <c r="A3" s="68">
        <f>DATE(2023,11,11)</f>
        <v>45241</v>
      </c>
      <c r="B3" s="68"/>
      <c r="C3" s="68"/>
      <c r="D3" s="68"/>
      <c r="E3" s="68"/>
      <c r="F3" s="68"/>
    </row>
    <row r="4" spans="1:22" ht="18.75" customHeight="1" x14ac:dyDescent="0.25">
      <c r="A4" s="1"/>
      <c r="B4" s="14" t="s">
        <v>74</v>
      </c>
      <c r="C4" s="32" t="s">
        <v>76</v>
      </c>
      <c r="D4" s="32" t="s">
        <v>95</v>
      </c>
      <c r="E4" s="32" t="s">
        <v>96</v>
      </c>
      <c r="F4" s="14" t="s">
        <v>75</v>
      </c>
      <c r="G4" s="14" t="s">
        <v>70</v>
      </c>
      <c r="I4" s="55" t="s">
        <v>77</v>
      </c>
      <c r="J4" s="33" t="s">
        <v>95</v>
      </c>
      <c r="K4" s="33" t="s">
        <v>96</v>
      </c>
      <c r="L4" s="33"/>
      <c r="M4" s="34" t="s">
        <v>79</v>
      </c>
      <c r="N4" s="33"/>
      <c r="P4" s="14" t="s">
        <v>1</v>
      </c>
      <c r="R4" s="12"/>
      <c r="S4" s="12"/>
      <c r="T4" s="12"/>
    </row>
    <row r="5" spans="1:22" ht="18.75" customHeight="1" x14ac:dyDescent="0.3">
      <c r="A5" s="11" t="s">
        <v>69</v>
      </c>
      <c r="B5" s="16"/>
      <c r="C5" s="16"/>
      <c r="D5" s="16"/>
      <c r="E5" s="62" t="s">
        <v>104</v>
      </c>
      <c r="F5" s="16"/>
      <c r="G5" s="16"/>
      <c r="I5" s="54"/>
      <c r="P5" s="16"/>
    </row>
    <row r="6" spans="1:22" x14ac:dyDescent="0.25">
      <c r="A6" s="9" t="s">
        <v>2</v>
      </c>
      <c r="B6" s="16"/>
      <c r="C6" s="16"/>
      <c r="D6" s="16"/>
      <c r="E6" s="16"/>
      <c r="F6" s="16"/>
      <c r="G6" s="16"/>
      <c r="I6" s="54"/>
      <c r="M6" s="7" t="s">
        <v>69</v>
      </c>
      <c r="N6" s="35">
        <v>0</v>
      </c>
      <c r="O6" s="7"/>
      <c r="P6" s="17">
        <f t="shared" ref="P6:P14" si="0">(F6)-(B6)</f>
        <v>0</v>
      </c>
      <c r="S6" s="12"/>
      <c r="T6" s="12"/>
      <c r="U6" s="12"/>
      <c r="V6" s="12"/>
    </row>
    <row r="7" spans="1:22" x14ac:dyDescent="0.25">
      <c r="A7" s="9" t="s">
        <v>3</v>
      </c>
      <c r="B7" s="17">
        <f>2232696</f>
        <v>2232696</v>
      </c>
      <c r="C7" s="17">
        <f>B7+(B7*N6)</f>
        <v>2232696</v>
      </c>
      <c r="D7" s="17">
        <f>C7-B7</f>
        <v>0</v>
      </c>
      <c r="E7" s="46">
        <f>(C7-B7)/B7</f>
        <v>0</v>
      </c>
      <c r="F7" s="17">
        <f>2275000</f>
        <v>2275000</v>
      </c>
      <c r="G7" s="17">
        <f>2131658</f>
        <v>2131658</v>
      </c>
      <c r="I7" s="54">
        <f>C7+($N$16*$N$17)</f>
        <v>2251196</v>
      </c>
      <c r="J7" s="36">
        <f t="shared" ref="J7:J12" si="1">I7-C7</f>
        <v>18500</v>
      </c>
      <c r="K7" s="35">
        <f>J7/C7</f>
        <v>8.2859466761260828E-3</v>
      </c>
      <c r="L7" s="12"/>
      <c r="M7" s="7" t="s">
        <v>80</v>
      </c>
      <c r="N7" s="36">
        <v>40000</v>
      </c>
      <c r="O7" s="7"/>
      <c r="P7" s="17">
        <f t="shared" si="0"/>
        <v>42304</v>
      </c>
      <c r="S7" s="12"/>
      <c r="T7" s="12"/>
      <c r="U7" s="12"/>
      <c r="V7" s="12"/>
    </row>
    <row r="8" spans="1:22" x14ac:dyDescent="0.25">
      <c r="A8" s="9" t="s">
        <v>4</v>
      </c>
      <c r="B8" s="17">
        <f>104100</f>
        <v>104100</v>
      </c>
      <c r="C8" s="17">
        <f>B8+(B8*$N$6)</f>
        <v>104100</v>
      </c>
      <c r="D8" s="17">
        <f t="shared" ref="D8:D9" si="2">C8-B8</f>
        <v>0</v>
      </c>
      <c r="E8" s="46">
        <f t="shared" ref="E8:E9" si="3">(C8-B8)/B8</f>
        <v>0</v>
      </c>
      <c r="F8" s="17">
        <f>115000</f>
        <v>115000</v>
      </c>
      <c r="G8" s="17">
        <f>110300</f>
        <v>110300</v>
      </c>
      <c r="I8" s="54">
        <f>C8</f>
        <v>104100</v>
      </c>
      <c r="J8" s="36">
        <f t="shared" si="1"/>
        <v>0</v>
      </c>
      <c r="K8" s="35">
        <f t="shared" ref="K8:K71" si="4">J8/C8</f>
        <v>0</v>
      </c>
      <c r="L8" s="12"/>
      <c r="M8" s="7" t="s">
        <v>81</v>
      </c>
      <c r="N8" s="36">
        <v>10000</v>
      </c>
      <c r="O8" s="7"/>
      <c r="P8" s="17">
        <f t="shared" si="0"/>
        <v>10900</v>
      </c>
      <c r="S8" s="13"/>
      <c r="T8" s="13"/>
      <c r="U8" s="13"/>
      <c r="V8" s="13"/>
    </row>
    <row r="9" spans="1:22" x14ac:dyDescent="0.25">
      <c r="A9" s="9" t="s">
        <v>5</v>
      </c>
      <c r="B9" s="17">
        <f>22000</f>
        <v>22000</v>
      </c>
      <c r="C9" s="17">
        <f>B9+(B9*$N$6)</f>
        <v>22000</v>
      </c>
      <c r="D9" s="17">
        <f t="shared" si="2"/>
        <v>0</v>
      </c>
      <c r="E9" s="46">
        <f t="shared" si="3"/>
        <v>0</v>
      </c>
      <c r="F9" s="17">
        <f>25000</f>
        <v>25000</v>
      </c>
      <c r="G9" s="17">
        <f>24600</f>
        <v>24600</v>
      </c>
      <c r="I9" s="54">
        <f>C9</f>
        <v>22000</v>
      </c>
      <c r="J9" s="36">
        <f t="shared" si="1"/>
        <v>0</v>
      </c>
      <c r="K9" s="35">
        <f t="shared" si="4"/>
        <v>0</v>
      </c>
      <c r="L9" s="12"/>
      <c r="M9" s="7" t="s">
        <v>82</v>
      </c>
      <c r="N9" s="35">
        <f>2/12</f>
        <v>0.16666666666666666</v>
      </c>
      <c r="O9" s="7"/>
      <c r="P9" s="17">
        <f t="shared" si="0"/>
        <v>3000</v>
      </c>
      <c r="S9" s="12"/>
      <c r="T9" s="12"/>
      <c r="U9" s="12"/>
      <c r="V9" s="12"/>
    </row>
    <row r="10" spans="1:22" x14ac:dyDescent="0.25">
      <c r="A10" s="8" t="s">
        <v>6</v>
      </c>
      <c r="B10" s="18">
        <f>(((B6)+(B7))+(B8))+(B9)</f>
        <v>2358796</v>
      </c>
      <c r="C10" s="18">
        <f t="shared" ref="C10:I10" si="5">(((C6)+(C7))+(C8))+(C9)</f>
        <v>2358796</v>
      </c>
      <c r="D10" s="19">
        <f t="shared" ref="D10:D18" si="6">C10-B10</f>
        <v>0</v>
      </c>
      <c r="E10" s="47">
        <f t="shared" ref="E10:E18" si="7">(C10-B10)/B10</f>
        <v>0</v>
      </c>
      <c r="F10" s="18">
        <f t="shared" si="5"/>
        <v>2415000</v>
      </c>
      <c r="G10" s="18">
        <f t="shared" si="5"/>
        <v>2266558</v>
      </c>
      <c r="H10" s="18">
        <f t="shared" si="5"/>
        <v>0</v>
      </c>
      <c r="I10" s="56">
        <f t="shared" si="5"/>
        <v>2377296</v>
      </c>
      <c r="J10" s="43">
        <f t="shared" si="1"/>
        <v>18500</v>
      </c>
      <c r="K10" s="35">
        <f t="shared" si="4"/>
        <v>7.8429843021609325E-3</v>
      </c>
      <c r="L10" s="12"/>
      <c r="M10" s="7" t="s">
        <v>83</v>
      </c>
      <c r="N10" s="36">
        <v>30000</v>
      </c>
      <c r="O10" s="7"/>
      <c r="P10" s="18">
        <f t="shared" si="0"/>
        <v>56204</v>
      </c>
    </row>
    <row r="11" spans="1:22" x14ac:dyDescent="0.25">
      <c r="A11" s="9" t="s">
        <v>7</v>
      </c>
      <c r="B11" s="17">
        <f>1250</f>
        <v>1250</v>
      </c>
      <c r="C11" s="17">
        <f t="shared" ref="C11:C20" si="8">B11+(B11*$N$6)</f>
        <v>1250</v>
      </c>
      <c r="D11" s="17">
        <f t="shared" si="6"/>
        <v>0</v>
      </c>
      <c r="E11" s="46">
        <f t="shared" si="7"/>
        <v>0</v>
      </c>
      <c r="F11" s="17">
        <f>5000</f>
        <v>5000</v>
      </c>
      <c r="G11" s="17">
        <f>12600</f>
        <v>12600</v>
      </c>
      <c r="I11" s="54">
        <f t="shared" ref="I11:I18" si="9">C11+(C11*$N$12)</f>
        <v>1312.5</v>
      </c>
      <c r="J11" s="36">
        <f t="shared" si="1"/>
        <v>62.5</v>
      </c>
      <c r="K11" s="35">
        <f t="shared" si="4"/>
        <v>0.05</v>
      </c>
      <c r="M11" s="7" t="s">
        <v>84</v>
      </c>
      <c r="N11" s="36">
        <v>150000</v>
      </c>
      <c r="O11" s="7"/>
      <c r="P11" s="17">
        <f t="shared" si="0"/>
        <v>3750</v>
      </c>
    </row>
    <row r="12" spans="1:22" x14ac:dyDescent="0.25">
      <c r="A12" s="9" t="s">
        <v>8</v>
      </c>
      <c r="B12" s="17">
        <f>25153.6</f>
        <v>25153.599999999999</v>
      </c>
      <c r="C12" s="17">
        <f t="shared" si="8"/>
        <v>25153.599999999999</v>
      </c>
      <c r="D12" s="17">
        <f t="shared" si="6"/>
        <v>0</v>
      </c>
      <c r="E12" s="46">
        <f t="shared" si="7"/>
        <v>0</v>
      </c>
      <c r="F12" s="17">
        <f>10000</f>
        <v>10000</v>
      </c>
      <c r="G12" s="17">
        <f>77486.5</f>
        <v>77486.5</v>
      </c>
      <c r="I12" s="54">
        <f t="shared" si="9"/>
        <v>26411.279999999999</v>
      </c>
      <c r="J12" s="36">
        <f t="shared" si="1"/>
        <v>1257.6800000000003</v>
      </c>
      <c r="K12" s="35">
        <f t="shared" si="4"/>
        <v>5.0000000000000017E-2</v>
      </c>
      <c r="M12" s="7" t="s">
        <v>94</v>
      </c>
      <c r="N12" s="35">
        <v>0.05</v>
      </c>
      <c r="O12" s="7"/>
      <c r="P12" s="17">
        <f t="shared" si="0"/>
        <v>-15153.599999999999</v>
      </c>
    </row>
    <row r="13" spans="1:22" x14ac:dyDescent="0.25">
      <c r="A13" s="9" t="s">
        <v>9</v>
      </c>
      <c r="B13" s="16"/>
      <c r="C13" s="17"/>
      <c r="D13" s="17"/>
      <c r="E13" s="46"/>
      <c r="F13" s="17">
        <f>279996</f>
        <v>279996</v>
      </c>
      <c r="G13" s="16"/>
      <c r="I13" s="54">
        <f t="shared" si="9"/>
        <v>0</v>
      </c>
      <c r="J13" s="36"/>
      <c r="K13" s="35"/>
      <c r="M13" s="7"/>
      <c r="N13" s="7"/>
      <c r="O13" s="7"/>
      <c r="P13" s="17">
        <f t="shared" si="0"/>
        <v>279996</v>
      </c>
    </row>
    <row r="14" spans="1:22" x14ac:dyDescent="0.25">
      <c r="A14" s="9" t="s">
        <v>10</v>
      </c>
      <c r="B14" s="17">
        <f>151855</f>
        <v>151855</v>
      </c>
      <c r="C14" s="17">
        <f t="shared" si="8"/>
        <v>151855</v>
      </c>
      <c r="D14" s="17">
        <f t="shared" si="6"/>
        <v>0</v>
      </c>
      <c r="E14" s="46">
        <f t="shared" si="7"/>
        <v>0</v>
      </c>
      <c r="F14" s="16"/>
      <c r="G14" s="17">
        <f>72893.79</f>
        <v>72893.789999999994</v>
      </c>
      <c r="I14" s="54">
        <f t="shared" si="9"/>
        <v>159447.75</v>
      </c>
      <c r="J14" s="36">
        <f>I14-C14</f>
        <v>7592.75</v>
      </c>
      <c r="K14" s="35">
        <f t="shared" si="4"/>
        <v>0.05</v>
      </c>
      <c r="M14" s="30" t="s">
        <v>85</v>
      </c>
      <c r="N14" s="7"/>
      <c r="O14" s="7"/>
      <c r="P14" s="17">
        <f t="shared" si="0"/>
        <v>-151855</v>
      </c>
    </row>
    <row r="15" spans="1:22" x14ac:dyDescent="0.25">
      <c r="A15" s="9" t="s">
        <v>66</v>
      </c>
      <c r="B15" s="17"/>
      <c r="C15" s="17"/>
      <c r="D15" s="17"/>
      <c r="E15" s="46"/>
      <c r="F15" s="16"/>
      <c r="G15" s="17">
        <f>31721.79</f>
        <v>31721.79</v>
      </c>
      <c r="I15" s="54">
        <f t="shared" si="9"/>
        <v>0</v>
      </c>
      <c r="J15" s="36"/>
      <c r="K15" s="35"/>
      <c r="M15" s="7" t="s">
        <v>69</v>
      </c>
      <c r="N15" s="35">
        <v>0</v>
      </c>
      <c r="O15" s="7"/>
      <c r="P15" s="17"/>
    </row>
    <row r="16" spans="1:22" x14ac:dyDescent="0.25">
      <c r="A16" s="9" t="s">
        <v>11</v>
      </c>
      <c r="B16" s="17">
        <f>102325</f>
        <v>102325</v>
      </c>
      <c r="C16" s="17">
        <f t="shared" si="8"/>
        <v>102325</v>
      </c>
      <c r="D16" s="17">
        <f t="shared" si="6"/>
        <v>0</v>
      </c>
      <c r="E16" s="46">
        <f t="shared" si="7"/>
        <v>0</v>
      </c>
      <c r="F16" s="16"/>
      <c r="G16" s="17">
        <f>86710.31</f>
        <v>86710.31</v>
      </c>
      <c r="I16" s="54">
        <f t="shared" si="9"/>
        <v>107441.25</v>
      </c>
      <c r="J16" s="36">
        <f t="shared" ref="J16:J22" si="10">I16-C16</f>
        <v>5116.25</v>
      </c>
      <c r="K16" s="35">
        <f t="shared" si="4"/>
        <v>0.05</v>
      </c>
      <c r="M16" s="7" t="s">
        <v>86</v>
      </c>
      <c r="N16" s="36">
        <v>3700</v>
      </c>
      <c r="O16" s="7"/>
      <c r="P16" s="17">
        <f t="shared" ref="P16:P22" si="11">(F16)-(B16)</f>
        <v>-102325</v>
      </c>
    </row>
    <row r="17" spans="1:17" x14ac:dyDescent="0.25">
      <c r="A17" s="9" t="s">
        <v>12</v>
      </c>
      <c r="B17" s="17">
        <f>23100</f>
        <v>23100</v>
      </c>
      <c r="C17" s="17">
        <f t="shared" si="8"/>
        <v>23100</v>
      </c>
      <c r="D17" s="17">
        <f t="shared" si="6"/>
        <v>0</v>
      </c>
      <c r="E17" s="46">
        <f t="shared" si="7"/>
        <v>0</v>
      </c>
      <c r="F17" s="16"/>
      <c r="G17" s="17">
        <f>79682.02</f>
        <v>79682.02</v>
      </c>
      <c r="I17" s="54">
        <f t="shared" si="9"/>
        <v>24255</v>
      </c>
      <c r="J17" s="36">
        <f t="shared" si="10"/>
        <v>1155</v>
      </c>
      <c r="K17" s="35">
        <f t="shared" si="4"/>
        <v>0.05</v>
      </c>
      <c r="M17" s="7" t="s">
        <v>105</v>
      </c>
      <c r="N17" s="7">
        <v>5</v>
      </c>
      <c r="O17" s="7"/>
      <c r="P17" s="17">
        <f t="shared" si="11"/>
        <v>-23100</v>
      </c>
    </row>
    <row r="18" spans="1:17" x14ac:dyDescent="0.25">
      <c r="A18" s="9" t="s">
        <v>13</v>
      </c>
      <c r="B18" s="17">
        <f>200</f>
        <v>200</v>
      </c>
      <c r="C18" s="17">
        <f t="shared" si="8"/>
        <v>200</v>
      </c>
      <c r="D18" s="17">
        <f t="shared" si="6"/>
        <v>0</v>
      </c>
      <c r="E18" s="46">
        <f t="shared" si="7"/>
        <v>0</v>
      </c>
      <c r="F18" s="16"/>
      <c r="G18" s="20"/>
      <c r="I18" s="54">
        <f t="shared" si="9"/>
        <v>210</v>
      </c>
      <c r="J18" s="36">
        <f t="shared" si="10"/>
        <v>10</v>
      </c>
      <c r="K18" s="35">
        <f t="shared" si="4"/>
        <v>0.05</v>
      </c>
      <c r="M18" s="7" t="s">
        <v>87</v>
      </c>
      <c r="N18" s="37">
        <v>3.9699999999999999E-2</v>
      </c>
      <c r="O18" s="36"/>
      <c r="P18" s="17">
        <f t="shared" si="11"/>
        <v>-200</v>
      </c>
    </row>
    <row r="19" spans="1:17" x14ac:dyDescent="0.25">
      <c r="A19" s="8" t="s">
        <v>14</v>
      </c>
      <c r="B19" s="18">
        <f>((((B13)+(B14))+(B16))+(B17))+(B18)</f>
        <v>277480</v>
      </c>
      <c r="C19" s="18">
        <f t="shared" ref="C19:I19" si="12">((((C13)+(C14))+(C16))+(C17))+(C18)</f>
        <v>277480</v>
      </c>
      <c r="D19" s="19">
        <f t="shared" ref="D19:D20" si="13">C19-B19</f>
        <v>0</v>
      </c>
      <c r="E19" s="47">
        <f t="shared" ref="E19:E20" si="14">(C19-B19)/B19</f>
        <v>0</v>
      </c>
      <c r="F19" s="18">
        <f t="shared" si="12"/>
        <v>279996</v>
      </c>
      <c r="G19" s="18">
        <f t="shared" si="12"/>
        <v>239286.12</v>
      </c>
      <c r="H19" s="18">
        <f t="shared" si="12"/>
        <v>0</v>
      </c>
      <c r="I19" s="56">
        <f t="shared" si="12"/>
        <v>291354</v>
      </c>
      <c r="J19" s="43">
        <f t="shared" si="10"/>
        <v>13874</v>
      </c>
      <c r="K19" s="35">
        <f t="shared" si="4"/>
        <v>0.05</v>
      </c>
      <c r="M19" s="7" t="s">
        <v>106</v>
      </c>
      <c r="N19" s="36">
        <v>50000</v>
      </c>
      <c r="O19" s="7"/>
      <c r="P19" s="18">
        <f t="shared" si="11"/>
        <v>2516</v>
      </c>
      <c r="Q19" s="63"/>
    </row>
    <row r="20" spans="1:17" x14ac:dyDescent="0.25">
      <c r="A20" s="9" t="s">
        <v>15</v>
      </c>
      <c r="B20" s="17">
        <f>695</f>
        <v>695</v>
      </c>
      <c r="C20" s="17">
        <f t="shared" si="8"/>
        <v>695</v>
      </c>
      <c r="D20" s="17">
        <f t="shared" si="13"/>
        <v>0</v>
      </c>
      <c r="E20" s="46">
        <f t="shared" si="14"/>
        <v>0</v>
      </c>
      <c r="F20" s="17">
        <f>5000</f>
        <v>5000</v>
      </c>
      <c r="G20" s="21">
        <v>10502.33</v>
      </c>
      <c r="I20" s="54">
        <v>0</v>
      </c>
      <c r="J20" s="36">
        <f t="shared" si="10"/>
        <v>-695</v>
      </c>
      <c r="K20" s="35">
        <f t="shared" si="4"/>
        <v>-1</v>
      </c>
      <c r="M20" s="7" t="s">
        <v>107</v>
      </c>
      <c r="N20" s="36">
        <v>55000</v>
      </c>
      <c r="O20" s="7"/>
      <c r="P20" s="17">
        <f t="shared" si="11"/>
        <v>4305</v>
      </c>
    </row>
    <row r="21" spans="1:17" s="10" customFormat="1" ht="18.75" x14ac:dyDescent="0.3">
      <c r="A21" s="11" t="s">
        <v>16</v>
      </c>
      <c r="B21" s="22">
        <f>((((B10)+(B11))+(B12))+(B19))+(B20)</f>
        <v>2663374.6</v>
      </c>
      <c r="C21" s="22">
        <f t="shared" ref="C21:I21" si="15">((((C10)+(C11))+(C12))+(C19))+(C20)</f>
        <v>2663374.6</v>
      </c>
      <c r="D21" s="28">
        <f t="shared" ref="D21" si="16">C21-B21</f>
        <v>0</v>
      </c>
      <c r="E21" s="48">
        <f t="shared" ref="E21" si="17">(C21-B21)/B21</f>
        <v>0</v>
      </c>
      <c r="F21" s="22">
        <f t="shared" si="15"/>
        <v>2714996</v>
      </c>
      <c r="G21" s="22">
        <f t="shared" si="15"/>
        <v>2606432.9500000002</v>
      </c>
      <c r="H21" s="22">
        <f t="shared" si="15"/>
        <v>0</v>
      </c>
      <c r="I21" s="57">
        <f t="shared" si="15"/>
        <v>2696373.78</v>
      </c>
      <c r="J21" s="45">
        <f t="shared" si="10"/>
        <v>32999.179999999702</v>
      </c>
      <c r="K21" s="35">
        <f t="shared" si="4"/>
        <v>1.2389988250244521E-2</v>
      </c>
      <c r="M21" s="7" t="s">
        <v>109</v>
      </c>
      <c r="N21" s="36">
        <v>36000</v>
      </c>
      <c r="O21" s="7"/>
      <c r="P21" s="22">
        <f t="shared" si="11"/>
        <v>51621.399999999907</v>
      </c>
    </row>
    <row r="22" spans="1:17" s="10" customFormat="1" ht="18.75" x14ac:dyDescent="0.3">
      <c r="A22" s="11" t="s">
        <v>17</v>
      </c>
      <c r="B22" s="22">
        <f>(B21)-(0)</f>
        <v>2663374.6</v>
      </c>
      <c r="C22" s="22">
        <f t="shared" ref="C22:I22" si="18">(C21)-(0)</f>
        <v>2663374.6</v>
      </c>
      <c r="D22" s="28">
        <f t="shared" ref="D22" si="19">C22-B22</f>
        <v>0</v>
      </c>
      <c r="E22" s="48">
        <f t="shared" ref="E22" si="20">(C22-B22)/B22</f>
        <v>0</v>
      </c>
      <c r="F22" s="22">
        <f t="shared" si="18"/>
        <v>2714996</v>
      </c>
      <c r="G22" s="22">
        <f t="shared" si="18"/>
        <v>2606432.9500000002</v>
      </c>
      <c r="H22" s="22">
        <f t="shared" si="18"/>
        <v>0</v>
      </c>
      <c r="I22" s="57">
        <f t="shared" si="18"/>
        <v>2696373.78</v>
      </c>
      <c r="J22" s="45">
        <f t="shared" si="10"/>
        <v>32999.179999999702</v>
      </c>
      <c r="K22" s="35">
        <f t="shared" si="4"/>
        <v>1.2389988250244521E-2</v>
      </c>
      <c r="M22" s="7" t="s">
        <v>88</v>
      </c>
      <c r="N22" s="36">
        <v>10600</v>
      </c>
      <c r="O22" s="7"/>
      <c r="P22" s="22">
        <f t="shared" si="11"/>
        <v>51621.399999999907</v>
      </c>
    </row>
    <row r="23" spans="1:17" x14ac:dyDescent="0.25">
      <c r="A23" s="9"/>
      <c r="B23" s="23"/>
      <c r="C23" s="23"/>
      <c r="D23" s="23"/>
      <c r="E23" s="23"/>
      <c r="F23" s="23"/>
      <c r="G23" s="23"/>
      <c r="I23" s="54"/>
      <c r="K23" s="35"/>
      <c r="M23" s="7" t="s">
        <v>108</v>
      </c>
      <c r="N23" s="35">
        <v>0.05</v>
      </c>
      <c r="O23" s="7"/>
      <c r="P23" s="23"/>
    </row>
    <row r="24" spans="1:17" ht="18.75" x14ac:dyDescent="0.3">
      <c r="A24" s="11" t="s">
        <v>18</v>
      </c>
      <c r="B24" s="24"/>
      <c r="C24" s="24"/>
      <c r="D24" s="24"/>
      <c r="E24" s="24"/>
      <c r="F24" s="24"/>
      <c r="G24" s="23"/>
      <c r="I24" s="54"/>
      <c r="K24" s="35"/>
      <c r="M24" s="7" t="s">
        <v>89</v>
      </c>
      <c r="N24" s="35">
        <v>0.03</v>
      </c>
      <c r="O24" s="7"/>
      <c r="P24" s="24"/>
    </row>
    <row r="25" spans="1:17" x14ac:dyDescent="0.25">
      <c r="A25" s="9" t="s">
        <v>19</v>
      </c>
      <c r="B25" s="16"/>
      <c r="C25" s="16"/>
      <c r="D25" s="16"/>
      <c r="E25" s="16"/>
      <c r="F25" s="17">
        <f>811851</f>
        <v>811851</v>
      </c>
      <c r="G25" s="17">
        <f>919382.45</f>
        <v>919382.45</v>
      </c>
      <c r="I25" s="54"/>
      <c r="J25" s="36">
        <f>I25-C25</f>
        <v>0</v>
      </c>
      <c r="K25" s="35"/>
      <c r="M25" s="7" t="s">
        <v>90</v>
      </c>
      <c r="N25" s="35">
        <v>0.03</v>
      </c>
      <c r="O25" s="7"/>
      <c r="P25" s="17">
        <f t="shared" ref="P25:P30" si="21">(F25)-(B25)</f>
        <v>811851</v>
      </c>
    </row>
    <row r="26" spans="1:17" x14ac:dyDescent="0.25">
      <c r="A26" s="9" t="s">
        <v>20</v>
      </c>
      <c r="B26" s="17">
        <f>355730.08</f>
        <v>355730.08</v>
      </c>
      <c r="C26" s="17">
        <f>B26+(2*N7)</f>
        <v>435730.08</v>
      </c>
      <c r="D26" s="17">
        <f t="shared" ref="D26:D29" si="22">C26-B26</f>
        <v>80000</v>
      </c>
      <c r="E26" s="46">
        <f t="shared" ref="E26:E29" si="23">(C26-B26)/B26</f>
        <v>0.22488961293349158</v>
      </c>
      <c r="F26" s="16"/>
      <c r="G26" s="17">
        <f>28606.07</f>
        <v>28606.07</v>
      </c>
      <c r="I26" s="54">
        <f>C26+(C26*$N$18)+N19+N20</f>
        <v>558028.56417599996</v>
      </c>
      <c r="J26" s="36">
        <f>I26-C26</f>
        <v>122298.48417599994</v>
      </c>
      <c r="K26" s="35">
        <f t="shared" si="4"/>
        <v>0.28067487141580849</v>
      </c>
      <c r="M26" s="7" t="s">
        <v>91</v>
      </c>
      <c r="N26" s="35">
        <v>0.03</v>
      </c>
      <c r="O26" s="7"/>
      <c r="P26" s="17">
        <f t="shared" si="21"/>
        <v>-355730.08</v>
      </c>
    </row>
    <row r="27" spans="1:17" x14ac:dyDescent="0.25">
      <c r="A27" s="9" t="s">
        <v>21</v>
      </c>
      <c r="B27" s="17">
        <f>21066.86</f>
        <v>21066.86</v>
      </c>
      <c r="C27" s="17">
        <f>(B27+(2100*2))+10000</f>
        <v>35266.86</v>
      </c>
      <c r="D27" s="17">
        <f t="shared" si="22"/>
        <v>14200</v>
      </c>
      <c r="E27" s="46">
        <f t="shared" si="23"/>
        <v>0.67404444706045419</v>
      </c>
      <c r="F27" s="16"/>
      <c r="G27" s="17">
        <f>20982.43</f>
        <v>20982.43</v>
      </c>
      <c r="I27" s="54">
        <f>C27+(C27*$N$23)</f>
        <v>37030.203000000001</v>
      </c>
      <c r="J27" s="36">
        <f>I27-C27</f>
        <v>1763.3430000000008</v>
      </c>
      <c r="K27" s="35">
        <f t="shared" si="4"/>
        <v>5.0000000000000024E-2</v>
      </c>
      <c r="M27" s="7" t="s">
        <v>92</v>
      </c>
      <c r="N27" s="35">
        <v>0</v>
      </c>
      <c r="O27" s="7"/>
      <c r="P27" s="17">
        <f t="shared" si="21"/>
        <v>-21066.86</v>
      </c>
    </row>
    <row r="28" spans="1:17" x14ac:dyDescent="0.25">
      <c r="A28" s="9" t="s">
        <v>22</v>
      </c>
      <c r="B28" s="17">
        <f>23982.54</f>
        <v>23982.54</v>
      </c>
      <c r="C28" s="17">
        <f>B28+(2400*2)</f>
        <v>28782.54</v>
      </c>
      <c r="D28" s="17">
        <f t="shared" si="22"/>
        <v>4800</v>
      </c>
      <c r="E28" s="46">
        <f t="shared" si="23"/>
        <v>0.20014560592831285</v>
      </c>
      <c r="F28" s="16"/>
      <c r="G28" s="17">
        <f>34728.79</f>
        <v>34728.79</v>
      </c>
      <c r="I28" s="54">
        <f>C28+(C28*$N$23)</f>
        <v>30221.667000000001</v>
      </c>
      <c r="J28" s="36">
        <f>I28-C28</f>
        <v>1439.1270000000004</v>
      </c>
      <c r="K28" s="35">
        <f t="shared" si="4"/>
        <v>5.000000000000001E-2</v>
      </c>
      <c r="M28" s="7" t="s">
        <v>93</v>
      </c>
      <c r="N28" s="35">
        <v>0.05</v>
      </c>
      <c r="O28" s="7"/>
      <c r="P28" s="17">
        <f t="shared" si="21"/>
        <v>-23982.54</v>
      </c>
    </row>
    <row r="29" spans="1:17" x14ac:dyDescent="0.25">
      <c r="A29" s="8" t="s">
        <v>23</v>
      </c>
      <c r="B29" s="18">
        <f>(((B25)+(B26))+(B27))+(B28)</f>
        <v>400779.48</v>
      </c>
      <c r="C29" s="18">
        <f t="shared" ref="C29:I29" si="24">(((C25)+(C26))+(C27))+(C28)</f>
        <v>499779.48</v>
      </c>
      <c r="D29" s="19">
        <f t="shared" si="22"/>
        <v>99000</v>
      </c>
      <c r="E29" s="47">
        <f t="shared" si="23"/>
        <v>0.24701863478639177</v>
      </c>
      <c r="F29" s="18">
        <f t="shared" si="24"/>
        <v>811851</v>
      </c>
      <c r="G29" s="18">
        <f t="shared" si="24"/>
        <v>1003699.74</v>
      </c>
      <c r="H29" s="18">
        <f t="shared" si="24"/>
        <v>0</v>
      </c>
      <c r="I29" s="56">
        <f t="shared" si="24"/>
        <v>625280.43417599995</v>
      </c>
      <c r="J29" s="43">
        <f>I29-C29</f>
        <v>125500.95417599997</v>
      </c>
      <c r="K29" s="35">
        <f t="shared" si="4"/>
        <v>0.25111265907916025</v>
      </c>
      <c r="M29" s="7" t="s">
        <v>110</v>
      </c>
      <c r="N29" s="36">
        <v>25000</v>
      </c>
      <c r="O29" s="7"/>
      <c r="P29" s="18">
        <f t="shared" si="21"/>
        <v>411071.52</v>
      </c>
    </row>
    <row r="30" spans="1:17" x14ac:dyDescent="0.25">
      <c r="A30" s="9" t="s">
        <v>24</v>
      </c>
      <c r="B30" s="16"/>
      <c r="C30" s="16"/>
      <c r="D30" s="16"/>
      <c r="E30" s="16"/>
      <c r="F30" s="16"/>
      <c r="G30" s="20"/>
      <c r="I30" s="54"/>
      <c r="J30" s="36"/>
      <c r="K30" s="35"/>
      <c r="M30" s="7" t="s">
        <v>94</v>
      </c>
      <c r="N30" s="35">
        <v>0.05</v>
      </c>
      <c r="O30" s="7"/>
      <c r="P30" s="17">
        <f t="shared" si="21"/>
        <v>0</v>
      </c>
    </row>
    <row r="31" spans="1:17" x14ac:dyDescent="0.25">
      <c r="A31" s="9" t="s">
        <v>25</v>
      </c>
      <c r="B31" s="17">
        <f>81532.16</f>
        <v>81532.160000000003</v>
      </c>
      <c r="C31" s="17">
        <f>B31+(B31*$N$9)</f>
        <v>95120.853333333333</v>
      </c>
      <c r="D31" s="17">
        <f t="shared" ref="D31" si="25">C31-B31</f>
        <v>13588.693333333329</v>
      </c>
      <c r="E31" s="46">
        <f t="shared" ref="E31" si="26">(C31-B31)/B31</f>
        <v>0.1666666666666666</v>
      </c>
      <c r="F31" s="17">
        <f>120000</f>
        <v>120000</v>
      </c>
      <c r="G31" s="17">
        <f>139272.6</f>
        <v>139272.6</v>
      </c>
      <c r="I31" s="54">
        <f>12*N22</f>
        <v>127200</v>
      </c>
      <c r="J31" s="36">
        <f>I31-C31</f>
        <v>32079.146666666667</v>
      </c>
      <c r="K31" s="35">
        <f t="shared" si="4"/>
        <v>0.33724620356643842</v>
      </c>
    </row>
    <row r="32" spans="1:17" x14ac:dyDescent="0.25">
      <c r="A32" s="9" t="s">
        <v>26</v>
      </c>
      <c r="B32" s="17">
        <f>20219.51</f>
        <v>20219.509999999998</v>
      </c>
      <c r="C32" s="17">
        <f>B32+(B32*$N$9)</f>
        <v>23589.42833333333</v>
      </c>
      <c r="D32" s="17">
        <f t="shared" ref="D32" si="27">C32-B32</f>
        <v>3369.9183333333312</v>
      </c>
      <c r="E32" s="46">
        <f t="shared" ref="E32" si="28">(C32-B32)/B32</f>
        <v>0.16666666666666657</v>
      </c>
      <c r="F32" s="17">
        <f>20600</f>
        <v>20600</v>
      </c>
      <c r="G32" s="17">
        <f>20543.28</f>
        <v>20543.28</v>
      </c>
      <c r="I32" s="54">
        <f>C32+(C32*N23)</f>
        <v>24768.899749999997</v>
      </c>
      <c r="J32" s="36">
        <f>I32-C32</f>
        <v>1179.4714166666672</v>
      </c>
      <c r="K32" s="35">
        <f t="shared" si="4"/>
        <v>5.0000000000000031E-2</v>
      </c>
      <c r="M32" s="7"/>
      <c r="N32" s="31">
        <v>2022</v>
      </c>
      <c r="O32" s="31" t="s">
        <v>73</v>
      </c>
      <c r="P32" s="49">
        <f>(F31)-(B31)</f>
        <v>38467.839999999997</v>
      </c>
      <c r="Q32" s="50" t="s">
        <v>77</v>
      </c>
    </row>
    <row r="33" spans="1:18" x14ac:dyDescent="0.25">
      <c r="A33" s="8" t="s">
        <v>27</v>
      </c>
      <c r="B33" s="18">
        <f>((B30)+(B31))+(B32)</f>
        <v>101751.67</v>
      </c>
      <c r="C33" s="18">
        <f t="shared" ref="C33:I33" si="29">((C30)+(C31))+(C32)</f>
        <v>118710.28166666666</v>
      </c>
      <c r="D33" s="19">
        <f t="shared" ref="D33:D40" si="30">C33-B33</f>
        <v>16958.611666666664</v>
      </c>
      <c r="E33" s="47">
        <f t="shared" ref="E33:E40" si="31">(C33-B33)/B33</f>
        <v>0.16666666666666663</v>
      </c>
      <c r="F33" s="18">
        <f t="shared" si="29"/>
        <v>140600</v>
      </c>
      <c r="G33" s="18">
        <f t="shared" si="29"/>
        <v>159815.88</v>
      </c>
      <c r="H33" s="18">
        <f t="shared" si="29"/>
        <v>0</v>
      </c>
      <c r="I33" s="56">
        <f t="shared" si="29"/>
        <v>151968.89974999998</v>
      </c>
      <c r="J33" s="43">
        <f>I33-C33</f>
        <v>33258.61808333332</v>
      </c>
      <c r="K33" s="35">
        <f t="shared" si="4"/>
        <v>0.28016628059835696</v>
      </c>
      <c r="M33" s="30" t="s">
        <v>97</v>
      </c>
      <c r="N33" s="7"/>
      <c r="O33" s="7"/>
      <c r="P33" s="17">
        <f>(F32)-(B32)</f>
        <v>380.4900000000016</v>
      </c>
    </row>
    <row r="34" spans="1:18" x14ac:dyDescent="0.25">
      <c r="A34" s="9" t="s">
        <v>28</v>
      </c>
      <c r="B34" s="17">
        <f>8541.56</f>
        <v>8541.56</v>
      </c>
      <c r="C34" s="17">
        <f t="shared" ref="C34:C39" si="32">B34+(B34*$N$9)</f>
        <v>9965.1533333333318</v>
      </c>
      <c r="D34" s="17">
        <f t="shared" si="30"/>
        <v>1423.5933333333323</v>
      </c>
      <c r="E34" s="46">
        <f t="shared" si="31"/>
        <v>0.16666666666666655</v>
      </c>
      <c r="F34" s="16"/>
      <c r="G34" s="20"/>
      <c r="I34" s="54">
        <f>C34+(C34*N24)</f>
        <v>10264.107933333331</v>
      </c>
      <c r="J34" s="36">
        <f>I34-C34</f>
        <v>298.95459999999912</v>
      </c>
      <c r="K34" s="35">
        <f t="shared" si="4"/>
        <v>2.9999999999999916E-2</v>
      </c>
      <c r="M34" s="51" t="s">
        <v>98</v>
      </c>
      <c r="N34" s="36">
        <f>G29</f>
        <v>1003699.74</v>
      </c>
      <c r="O34" s="36">
        <f>C29</f>
        <v>499779.48</v>
      </c>
      <c r="P34" s="18">
        <f>(F33)-(B33)</f>
        <v>38848.33</v>
      </c>
      <c r="Q34" s="12">
        <f>I29</f>
        <v>625280.43417599995</v>
      </c>
    </row>
    <row r="35" spans="1:18" x14ac:dyDescent="0.25">
      <c r="A35" s="9" t="s">
        <v>29</v>
      </c>
      <c r="B35" s="16"/>
      <c r="C35" s="17"/>
      <c r="D35" s="17"/>
      <c r="E35" s="46"/>
      <c r="F35" s="16"/>
      <c r="G35" s="20"/>
      <c r="I35" s="54"/>
      <c r="J35" s="36"/>
      <c r="K35" s="35"/>
      <c r="M35" s="51" t="s">
        <v>99</v>
      </c>
      <c r="N35" s="36">
        <f>G46</f>
        <v>710913.76</v>
      </c>
      <c r="O35" s="36">
        <f>C46</f>
        <v>874253.54999999993</v>
      </c>
      <c r="P35" s="17">
        <f>(F34)-(B34)</f>
        <v>-8541.56</v>
      </c>
      <c r="Q35" s="12">
        <f>I46</f>
        <v>785602.14166666672</v>
      </c>
    </row>
    <row r="36" spans="1:18" x14ac:dyDescent="0.25">
      <c r="A36" s="9" t="s">
        <v>30</v>
      </c>
      <c r="B36" s="17">
        <f>40526.56</f>
        <v>40526.559999999998</v>
      </c>
      <c r="C36" s="17">
        <f t="shared" si="32"/>
        <v>47280.986666666664</v>
      </c>
      <c r="D36" s="17">
        <f t="shared" si="30"/>
        <v>6754.4266666666663</v>
      </c>
      <c r="E36" s="46">
        <f t="shared" si="31"/>
        <v>0.16666666666666666</v>
      </c>
      <c r="F36" s="17">
        <f>146977</f>
        <v>146977</v>
      </c>
      <c r="G36" s="17">
        <f>158866.84</f>
        <v>158866.84</v>
      </c>
      <c r="I36" s="54">
        <f>C36+(C36*$N$24)</f>
        <v>48699.416266666667</v>
      </c>
      <c r="J36" s="36">
        <f>I36-C36</f>
        <v>1418.4296000000031</v>
      </c>
      <c r="K36" s="35">
        <f t="shared" si="4"/>
        <v>3.0000000000000068E-2</v>
      </c>
      <c r="M36" s="31" t="s">
        <v>100</v>
      </c>
      <c r="N36" s="41">
        <f>SUM(N34:N35)</f>
        <v>1714613.5</v>
      </c>
      <c r="O36" s="41">
        <f t="shared" ref="O36:Q36" si="33">SUM(O34:O35)</f>
        <v>1374033.0299999998</v>
      </c>
      <c r="P36" s="41">
        <f t="shared" si="33"/>
        <v>30306.770000000004</v>
      </c>
      <c r="Q36" s="41">
        <f t="shared" si="33"/>
        <v>1410882.5758426667</v>
      </c>
    </row>
    <row r="37" spans="1:18" x14ac:dyDescent="0.25">
      <c r="A37" s="9" t="s">
        <v>31</v>
      </c>
      <c r="B37" s="17">
        <f>66380.5</f>
        <v>66380.5</v>
      </c>
      <c r="C37" s="17">
        <f t="shared" si="32"/>
        <v>77443.916666666672</v>
      </c>
      <c r="D37" s="17">
        <f t="shared" si="30"/>
        <v>11063.416666666672</v>
      </c>
      <c r="E37" s="46">
        <f t="shared" si="31"/>
        <v>0.16666666666666674</v>
      </c>
      <c r="F37" s="17">
        <f>166934</f>
        <v>166934</v>
      </c>
      <c r="G37" s="17">
        <f>74215.65</f>
        <v>74215.649999999994</v>
      </c>
      <c r="I37" s="54">
        <f>C37+(C37*$N$24)</f>
        <v>79767.234166666676</v>
      </c>
      <c r="J37" s="36">
        <f>I37-C37</f>
        <v>2323.3175000000047</v>
      </c>
      <c r="K37" s="35">
        <f t="shared" si="4"/>
        <v>3.0000000000000058E-2</v>
      </c>
      <c r="M37" s="7" t="s">
        <v>91</v>
      </c>
      <c r="N37" s="36">
        <f>G48</f>
        <v>311220</v>
      </c>
      <c r="O37" s="36">
        <f>C48</f>
        <v>355326.56833333336</v>
      </c>
      <c r="P37" s="17">
        <f>(F36)-(B36)</f>
        <v>106450.44</v>
      </c>
      <c r="Q37" s="12">
        <f>I48</f>
        <v>365986.36538333335</v>
      </c>
    </row>
    <row r="38" spans="1:18" x14ac:dyDescent="0.25">
      <c r="A38" s="9" t="s">
        <v>32</v>
      </c>
      <c r="B38" s="17">
        <f>3147.4</f>
        <v>3147.4</v>
      </c>
      <c r="C38" s="17">
        <f t="shared" si="32"/>
        <v>3671.9666666666667</v>
      </c>
      <c r="D38" s="17">
        <f t="shared" si="30"/>
        <v>524.56666666666661</v>
      </c>
      <c r="E38" s="46">
        <f t="shared" si="31"/>
        <v>0.16666666666666663</v>
      </c>
      <c r="F38" s="17">
        <f>8776</f>
        <v>8776</v>
      </c>
      <c r="G38" s="17">
        <f>7500.39</f>
        <v>7500.39</v>
      </c>
      <c r="I38" s="54">
        <f>C38+(C38*$N$24)</f>
        <v>3782.1256666666668</v>
      </c>
      <c r="J38" s="36">
        <f>I38-C38</f>
        <v>110.15900000000011</v>
      </c>
      <c r="K38" s="35">
        <f t="shared" si="4"/>
        <v>3.000000000000003E-2</v>
      </c>
      <c r="M38" s="30" t="s">
        <v>0</v>
      </c>
      <c r="N38" s="41">
        <f>N36+N37</f>
        <v>2025833.5</v>
      </c>
      <c r="O38" s="41">
        <f t="shared" ref="O38:Q38" si="34">O36+O37</f>
        <v>1729359.5983333332</v>
      </c>
      <c r="P38" s="41">
        <f t="shared" si="34"/>
        <v>136757.21000000002</v>
      </c>
      <c r="Q38" s="41">
        <f t="shared" si="34"/>
        <v>1776868.941226</v>
      </c>
    </row>
    <row r="39" spans="1:18" x14ac:dyDescent="0.25">
      <c r="A39" s="9" t="s">
        <v>33</v>
      </c>
      <c r="B39" s="17">
        <f>10099.04</f>
        <v>10099.040000000001</v>
      </c>
      <c r="C39" s="17">
        <f t="shared" si="32"/>
        <v>11782.213333333335</v>
      </c>
      <c r="D39" s="17">
        <f t="shared" si="30"/>
        <v>1683.1733333333341</v>
      </c>
      <c r="E39" s="46">
        <f t="shared" si="31"/>
        <v>0.16666666666666671</v>
      </c>
      <c r="F39" s="17">
        <f>5280</f>
        <v>5280</v>
      </c>
      <c r="G39" s="17">
        <f>3622.95</f>
        <v>3622.95</v>
      </c>
      <c r="I39" s="54">
        <f>C39+(C39*$N$24)</f>
        <v>12135.679733333334</v>
      </c>
      <c r="J39" s="36">
        <f>I39-C39</f>
        <v>353.46639999999934</v>
      </c>
      <c r="K39" s="35">
        <f t="shared" si="4"/>
        <v>2.999999999999994E-2</v>
      </c>
      <c r="M39" s="7"/>
      <c r="N39" s="7"/>
      <c r="O39" s="7"/>
      <c r="P39" s="17">
        <f t="shared" ref="P39:P45" si="35">(F38)-(B38)</f>
        <v>5628.6</v>
      </c>
    </row>
    <row r="40" spans="1:18" x14ac:dyDescent="0.25">
      <c r="A40" s="8" t="s">
        <v>34</v>
      </c>
      <c r="B40" s="18">
        <f>((((B35)+(B36))+(B37))+(B38))+(B39)</f>
        <v>120153.5</v>
      </c>
      <c r="C40" s="18">
        <f t="shared" ref="C40:I40" si="36">((((C35)+(C36))+(C37))+(C38))+(C39)</f>
        <v>140179.08333333334</v>
      </c>
      <c r="D40" s="19">
        <f t="shared" si="30"/>
        <v>20025.583333333343</v>
      </c>
      <c r="E40" s="47">
        <f t="shared" si="31"/>
        <v>0.16666666666666674</v>
      </c>
      <c r="F40" s="18">
        <f t="shared" si="36"/>
        <v>327967</v>
      </c>
      <c r="G40" s="18">
        <f t="shared" si="36"/>
        <v>244205.83000000002</v>
      </c>
      <c r="H40" s="18">
        <f t="shared" si="36"/>
        <v>0</v>
      </c>
      <c r="I40" s="56">
        <f t="shared" si="36"/>
        <v>144384.45583333334</v>
      </c>
      <c r="J40" s="43">
        <f>I40-C40</f>
        <v>4205.3724999999977</v>
      </c>
      <c r="K40" s="35">
        <f t="shared" si="4"/>
        <v>2.9999999999999982E-2</v>
      </c>
      <c r="M40" s="30" t="s">
        <v>101</v>
      </c>
      <c r="N40" s="52">
        <f>N38/G64</f>
        <v>0.71434175507813191</v>
      </c>
      <c r="O40" s="52">
        <f>O38/C64</f>
        <v>0.69641931867837381</v>
      </c>
      <c r="P40" s="17">
        <f t="shared" si="35"/>
        <v>-4819.0400000000009</v>
      </c>
      <c r="Q40" s="53">
        <f>Q38/I64</f>
        <v>0.68033857773215889</v>
      </c>
    </row>
    <row r="41" spans="1:18" x14ac:dyDescent="0.25">
      <c r="A41" s="9" t="s">
        <v>35</v>
      </c>
      <c r="B41" s="16"/>
      <c r="C41" s="16"/>
      <c r="D41" s="16"/>
      <c r="E41" s="16"/>
      <c r="F41" s="16"/>
      <c r="G41" s="20"/>
      <c r="I41" s="54"/>
      <c r="J41" s="36"/>
      <c r="K41" s="35"/>
      <c r="M41" s="7"/>
      <c r="N41" s="7"/>
      <c r="O41" s="7"/>
      <c r="P41" s="18">
        <f t="shared" si="35"/>
        <v>207813.5</v>
      </c>
      <c r="Q41" s="64">
        <f>3/71</f>
        <v>4.2253521126760563E-2</v>
      </c>
      <c r="R41" s="65" t="s">
        <v>111</v>
      </c>
    </row>
    <row r="42" spans="1:18" x14ac:dyDescent="0.25">
      <c r="A42" s="9" t="s">
        <v>36</v>
      </c>
      <c r="B42" s="17">
        <f>153799.29</f>
        <v>153799.29</v>
      </c>
      <c r="C42" s="17">
        <f>B42+(B42*$N$9)+(3*$N$10)</f>
        <v>269432.505</v>
      </c>
      <c r="D42" s="17">
        <f t="shared" ref="D42:D46" si="37">C42-B42</f>
        <v>115633.215</v>
      </c>
      <c r="E42" s="46">
        <f t="shared" ref="E42:E46" si="38">(C42-B42)/B42</f>
        <v>0.75184492074053133</v>
      </c>
      <c r="F42" s="17">
        <f>246000</f>
        <v>246000</v>
      </c>
      <c r="G42" s="17">
        <f>47184.51</f>
        <v>47184.51</v>
      </c>
      <c r="I42" s="54">
        <f>(C42+(C42*$N$25))+N21</f>
        <v>313515.48015000002</v>
      </c>
      <c r="J42" s="36">
        <f t="shared" ref="J42:J75" si="39">I42-C42</f>
        <v>44082.975150000013</v>
      </c>
      <c r="K42" s="35">
        <f t="shared" si="4"/>
        <v>0.16361416804553708</v>
      </c>
      <c r="M42" s="7"/>
      <c r="N42" s="7"/>
      <c r="O42" s="7"/>
      <c r="P42" s="17">
        <f t="shared" si="35"/>
        <v>0</v>
      </c>
    </row>
    <row r="43" spans="1:18" x14ac:dyDescent="0.25">
      <c r="A43" s="9" t="s">
        <v>37</v>
      </c>
      <c r="B43" s="17">
        <f>173078.95</f>
        <v>173078.95</v>
      </c>
      <c r="C43" s="17">
        <f t="shared" ref="C43:C55" si="40">B43+(B43*$N$9)</f>
        <v>201925.44166666668</v>
      </c>
      <c r="D43" s="17">
        <f t="shared" si="37"/>
        <v>28846.491666666669</v>
      </c>
      <c r="E43" s="46">
        <f t="shared" si="38"/>
        <v>0.16666666666666666</v>
      </c>
      <c r="F43" s="16"/>
      <c r="G43" s="17">
        <f>260287.03</f>
        <v>260287.03</v>
      </c>
      <c r="I43" s="54">
        <f>C43+(C43*$N$25)</f>
        <v>207983.20491666667</v>
      </c>
      <c r="J43" s="36">
        <f t="shared" si="39"/>
        <v>6057.7632499999891</v>
      </c>
      <c r="K43" s="35">
        <f t="shared" si="4"/>
        <v>2.9999999999999943E-2</v>
      </c>
      <c r="M43" s="30" t="s">
        <v>102</v>
      </c>
      <c r="N43" s="7"/>
      <c r="O43" s="7"/>
      <c r="P43" s="17">
        <f t="shared" si="35"/>
        <v>92200.709999999992</v>
      </c>
    </row>
    <row r="44" spans="1:18" x14ac:dyDescent="0.25">
      <c r="A44" s="9" t="s">
        <v>38</v>
      </c>
      <c r="B44" s="17">
        <f>153206.76</f>
        <v>153206.76</v>
      </c>
      <c r="C44" s="17">
        <f t="shared" si="40"/>
        <v>178741.22</v>
      </c>
      <c r="D44" s="17">
        <f t="shared" si="37"/>
        <v>25534.459999999992</v>
      </c>
      <c r="E44" s="46">
        <f t="shared" si="38"/>
        <v>0.1666666666666666</v>
      </c>
      <c r="F44" s="17">
        <f>65600</f>
        <v>65600</v>
      </c>
      <c r="G44" s="17">
        <f>171165.13</f>
        <v>171165.13</v>
      </c>
      <c r="I44" s="54">
        <f>C44+(C44*$N$25)</f>
        <v>184103.4566</v>
      </c>
      <c r="J44" s="36">
        <f t="shared" si="39"/>
        <v>5362.2366000000038</v>
      </c>
      <c r="K44" s="35">
        <f t="shared" si="4"/>
        <v>3.000000000000002E-2</v>
      </c>
      <c r="M44" s="7" t="s">
        <v>103</v>
      </c>
      <c r="N44" s="36">
        <f>C21*N18</f>
        <v>105735.97162</v>
      </c>
      <c r="O44" s="7"/>
      <c r="P44" s="17">
        <f t="shared" si="35"/>
        <v>-173078.95</v>
      </c>
    </row>
    <row r="45" spans="1:18" x14ac:dyDescent="0.25">
      <c r="A45" s="9" t="s">
        <v>39</v>
      </c>
      <c r="B45" s="17">
        <f>63560.9</f>
        <v>63560.9</v>
      </c>
      <c r="C45" s="17">
        <f>B45+(B45*$N$9)+$N$11</f>
        <v>224154.38333333333</v>
      </c>
      <c r="D45" s="17">
        <f t="shared" si="37"/>
        <v>160593.48333333334</v>
      </c>
      <c r="E45" s="46">
        <f t="shared" si="38"/>
        <v>2.5266080771879147</v>
      </c>
      <c r="F45" s="17">
        <f>175000</f>
        <v>175000</v>
      </c>
      <c r="G45" s="17">
        <f>232277.09</f>
        <v>232277.09</v>
      </c>
      <c r="I45" s="54">
        <v>80000</v>
      </c>
      <c r="J45" s="36">
        <f t="shared" si="39"/>
        <v>-144154.38333333333</v>
      </c>
      <c r="K45" s="35">
        <f t="shared" si="4"/>
        <v>-0.64310312022301885</v>
      </c>
      <c r="L45" s="12"/>
      <c r="M45" s="7"/>
      <c r="N45" s="7"/>
      <c r="O45" s="7"/>
      <c r="P45" s="17">
        <f t="shared" si="35"/>
        <v>-87606.760000000009</v>
      </c>
    </row>
    <row r="46" spans="1:18" x14ac:dyDescent="0.25">
      <c r="A46" s="8" t="s">
        <v>40</v>
      </c>
      <c r="B46" s="18">
        <f>((((B41)+(B42))+(B43))+(B44))+(B45)</f>
        <v>543645.9</v>
      </c>
      <c r="C46" s="18">
        <f t="shared" ref="C46:I46" si="41">((((C41)+(C42))+(C43))+(C44))+(C45)</f>
        <v>874253.54999999993</v>
      </c>
      <c r="D46" s="19">
        <f t="shared" si="37"/>
        <v>330607.64999999991</v>
      </c>
      <c r="E46" s="47">
        <f t="shared" si="38"/>
        <v>0.6081304945001883</v>
      </c>
      <c r="F46" s="18">
        <f t="shared" si="41"/>
        <v>486600</v>
      </c>
      <c r="G46" s="18">
        <f t="shared" si="41"/>
        <v>710913.76</v>
      </c>
      <c r="H46" s="18">
        <f t="shared" si="41"/>
        <v>0</v>
      </c>
      <c r="I46" s="18">
        <f t="shared" si="41"/>
        <v>785602.14166666672</v>
      </c>
      <c r="J46" s="43">
        <f t="shared" si="39"/>
        <v>-88651.408333333209</v>
      </c>
      <c r="K46" s="35">
        <f t="shared" si="4"/>
        <v>-0.10140240017708045</v>
      </c>
      <c r="L46" s="12"/>
    </row>
    <row r="47" spans="1:18" x14ac:dyDescent="0.25">
      <c r="A47" s="9" t="s">
        <v>41</v>
      </c>
      <c r="B47" s="17">
        <f>825</f>
        <v>825</v>
      </c>
      <c r="C47" s="17">
        <f t="shared" si="40"/>
        <v>962.5</v>
      </c>
      <c r="D47" s="17">
        <f t="shared" ref="D47:D51" si="42">C47-B47</f>
        <v>137.5</v>
      </c>
      <c r="E47" s="46">
        <f t="shared" ref="E47:E51" si="43">(C47-B47)/B47</f>
        <v>0.16666666666666666</v>
      </c>
      <c r="F47" s="17">
        <f>375000</f>
        <v>375000</v>
      </c>
      <c r="G47" s="20"/>
      <c r="I47" s="54">
        <f>C47+(C47*$N$27)</f>
        <v>962.5</v>
      </c>
      <c r="J47" s="36">
        <f t="shared" si="39"/>
        <v>0</v>
      </c>
      <c r="K47" s="35">
        <f t="shared" si="4"/>
        <v>0</v>
      </c>
    </row>
    <row r="48" spans="1:18" x14ac:dyDescent="0.25">
      <c r="A48" s="9" t="s">
        <v>42</v>
      </c>
      <c r="B48" s="17">
        <f>304565.63</f>
        <v>304565.63</v>
      </c>
      <c r="C48" s="17">
        <f t="shared" si="40"/>
        <v>355326.56833333336</v>
      </c>
      <c r="D48" s="17">
        <f t="shared" si="42"/>
        <v>50760.938333333354</v>
      </c>
      <c r="E48" s="46">
        <f t="shared" si="43"/>
        <v>0.16666666666666674</v>
      </c>
      <c r="F48" s="16"/>
      <c r="G48" s="17">
        <f>311220</f>
        <v>311220</v>
      </c>
      <c r="I48" s="54">
        <f>C48+(C48*$N$26)</f>
        <v>365986.36538333335</v>
      </c>
      <c r="J48" s="36">
        <f t="shared" si="39"/>
        <v>10659.797049999994</v>
      </c>
      <c r="K48" s="35">
        <f t="shared" si="4"/>
        <v>2.9999999999999982E-2</v>
      </c>
    </row>
    <row r="49" spans="1:11" x14ac:dyDescent="0.25">
      <c r="A49" s="9" t="s">
        <v>43</v>
      </c>
      <c r="B49" s="17">
        <f>12944.42</f>
        <v>12944.42</v>
      </c>
      <c r="C49" s="17">
        <f t="shared" si="40"/>
        <v>15101.823333333334</v>
      </c>
      <c r="D49" s="17">
        <f t="shared" si="42"/>
        <v>2157.4033333333336</v>
      </c>
      <c r="E49" s="46">
        <f t="shared" si="43"/>
        <v>0.16666666666666669</v>
      </c>
      <c r="F49" s="16"/>
      <c r="G49" s="17">
        <f>10479.5</f>
        <v>10479.5</v>
      </c>
      <c r="I49" s="54">
        <f>C49+(C49*$N$27)</f>
        <v>15101.823333333334</v>
      </c>
      <c r="J49" s="36">
        <f t="shared" si="39"/>
        <v>0</v>
      </c>
      <c r="K49" s="35">
        <f t="shared" si="4"/>
        <v>0</v>
      </c>
    </row>
    <row r="50" spans="1:11" x14ac:dyDescent="0.25">
      <c r="A50" s="9" t="s">
        <v>44</v>
      </c>
      <c r="B50" s="17">
        <f>7140</f>
        <v>7140</v>
      </c>
      <c r="C50" s="17">
        <f t="shared" si="40"/>
        <v>8330</v>
      </c>
      <c r="D50" s="17">
        <f t="shared" si="42"/>
        <v>1190</v>
      </c>
      <c r="E50" s="46">
        <f t="shared" si="43"/>
        <v>0.16666666666666666</v>
      </c>
      <c r="F50" s="16"/>
      <c r="G50" s="17">
        <f>6490</f>
        <v>6490</v>
      </c>
      <c r="I50" s="54">
        <f>C50+(C50*$N$27)</f>
        <v>8330</v>
      </c>
      <c r="J50" s="36">
        <f t="shared" si="39"/>
        <v>0</v>
      </c>
      <c r="K50" s="35">
        <f t="shared" si="4"/>
        <v>0</v>
      </c>
    </row>
    <row r="51" spans="1:11" x14ac:dyDescent="0.25">
      <c r="A51" s="9" t="s">
        <v>45</v>
      </c>
      <c r="B51" s="17">
        <f>19351.25</f>
        <v>19351.25</v>
      </c>
      <c r="C51" s="17">
        <f t="shared" si="40"/>
        <v>22576.458333333332</v>
      </c>
      <c r="D51" s="17">
        <f t="shared" si="42"/>
        <v>3225.2083333333321</v>
      </c>
      <c r="E51" s="46">
        <f t="shared" si="43"/>
        <v>0.1666666666666666</v>
      </c>
      <c r="F51" s="16"/>
      <c r="G51" s="17">
        <f>12100</f>
        <v>12100</v>
      </c>
      <c r="I51" s="54">
        <f>C51+(C51*$N$27)</f>
        <v>22576.458333333332</v>
      </c>
      <c r="J51" s="36">
        <f t="shared" si="39"/>
        <v>0</v>
      </c>
      <c r="K51" s="35">
        <f t="shared" si="4"/>
        <v>0</v>
      </c>
    </row>
    <row r="52" spans="1:11" x14ac:dyDescent="0.25">
      <c r="A52" s="8" t="s">
        <v>46</v>
      </c>
      <c r="B52" s="18">
        <f>((((B47)+(B48))+(B49))+(B50))+(B51)</f>
        <v>344826.3</v>
      </c>
      <c r="C52" s="18">
        <f t="shared" ref="C52:I52" si="44">((((C47)+(C48))+(C49))+(C50))+(C51)</f>
        <v>402297.35000000003</v>
      </c>
      <c r="D52" s="19">
        <f t="shared" ref="D52:D55" si="45">C52-B52</f>
        <v>57471.050000000047</v>
      </c>
      <c r="E52" s="47">
        <f t="shared" ref="E52:E55" si="46">(C52-B52)/B52</f>
        <v>0.1666666666666668</v>
      </c>
      <c r="F52" s="18">
        <f t="shared" si="44"/>
        <v>375000</v>
      </c>
      <c r="G52" s="18">
        <f t="shared" si="44"/>
        <v>340289.5</v>
      </c>
      <c r="H52" s="18">
        <f t="shared" si="44"/>
        <v>0</v>
      </c>
      <c r="I52" s="56">
        <f t="shared" si="44"/>
        <v>412957.14704999997</v>
      </c>
      <c r="J52" s="43">
        <f t="shared" si="39"/>
        <v>10659.797049999936</v>
      </c>
      <c r="K52" s="35">
        <f t="shared" si="4"/>
        <v>2.6497308644961082E-2</v>
      </c>
    </row>
    <row r="53" spans="1:11" x14ac:dyDescent="0.25">
      <c r="A53" s="9" t="s">
        <v>47</v>
      </c>
      <c r="B53" s="17">
        <f>2815.12</f>
        <v>2815.12</v>
      </c>
      <c r="C53" s="17">
        <f t="shared" si="40"/>
        <v>3284.3066666666664</v>
      </c>
      <c r="D53" s="17">
        <f t="shared" si="45"/>
        <v>469.1866666666665</v>
      </c>
      <c r="E53" s="46">
        <f t="shared" si="46"/>
        <v>0.1666666666666666</v>
      </c>
      <c r="F53" s="16"/>
      <c r="G53" s="20"/>
      <c r="I53" s="54">
        <f>(C53+(C53*$N$28))+N29</f>
        <v>28448.522000000001</v>
      </c>
      <c r="J53" s="36">
        <f t="shared" si="39"/>
        <v>25164.215333333334</v>
      </c>
      <c r="K53" s="35">
        <f t="shared" si="4"/>
        <v>7.6619566585337147</v>
      </c>
    </row>
    <row r="54" spans="1:11" x14ac:dyDescent="0.25">
      <c r="A54" s="9" t="s">
        <v>48</v>
      </c>
      <c r="B54" s="17">
        <f>91981.19</f>
        <v>91981.19</v>
      </c>
      <c r="C54" s="17">
        <f t="shared" si="40"/>
        <v>107311.38833333334</v>
      </c>
      <c r="D54" s="17">
        <f t="shared" si="45"/>
        <v>15330.198333333334</v>
      </c>
      <c r="E54" s="46">
        <f t="shared" si="46"/>
        <v>0.16666666666666666</v>
      </c>
      <c r="F54" s="17">
        <f>54000</f>
        <v>54000</v>
      </c>
      <c r="G54" s="17">
        <f>62355.83</f>
        <v>62355.83</v>
      </c>
      <c r="I54" s="54">
        <f>C54+(C54*N18)</f>
        <v>111571.65045016666</v>
      </c>
      <c r="J54" s="36">
        <f t="shared" si="39"/>
        <v>4260.262116833328</v>
      </c>
      <c r="K54" s="35">
        <f t="shared" si="4"/>
        <v>3.9699999999999951E-2</v>
      </c>
    </row>
    <row r="55" spans="1:11" x14ac:dyDescent="0.25">
      <c r="A55" s="9" t="s">
        <v>49</v>
      </c>
      <c r="B55" s="17">
        <f>11085.32</f>
        <v>11085.32</v>
      </c>
      <c r="C55" s="17">
        <f t="shared" si="40"/>
        <v>12932.873333333333</v>
      </c>
      <c r="D55" s="17">
        <f t="shared" si="45"/>
        <v>1847.5533333333333</v>
      </c>
      <c r="E55" s="46">
        <f t="shared" si="46"/>
        <v>0.16666666666666666</v>
      </c>
      <c r="F55" s="16"/>
      <c r="G55" s="25"/>
      <c r="I55" s="54">
        <f>C55+(C55*$N$28)</f>
        <v>13579.517</v>
      </c>
      <c r="J55" s="36">
        <f t="shared" si="39"/>
        <v>646.64366666666683</v>
      </c>
      <c r="K55" s="35">
        <f t="shared" si="4"/>
        <v>5.0000000000000017E-2</v>
      </c>
    </row>
    <row r="56" spans="1:11" x14ac:dyDescent="0.25">
      <c r="A56" s="8" t="s">
        <v>50</v>
      </c>
      <c r="B56" s="18">
        <f>((B53)+(B54))+(B55)</f>
        <v>105881.63</v>
      </c>
      <c r="C56" s="18">
        <f t="shared" ref="C56:I56" si="47">((C53)+(C54))+(C55)</f>
        <v>123528.56833333334</v>
      </c>
      <c r="D56" s="19">
        <f t="shared" ref="D56:D60" si="48">C56-B56</f>
        <v>17646.938333333339</v>
      </c>
      <c r="E56" s="47">
        <f t="shared" ref="E56:E60" si="49">(C56-B56)/B56</f>
        <v>0.16666666666666671</v>
      </c>
      <c r="F56" s="18">
        <f t="shared" si="47"/>
        <v>54000</v>
      </c>
      <c r="G56" s="18">
        <f t="shared" si="47"/>
        <v>62355.83</v>
      </c>
      <c r="H56" s="18">
        <f t="shared" si="47"/>
        <v>0</v>
      </c>
      <c r="I56" s="56">
        <f t="shared" si="47"/>
        <v>153599.68945016665</v>
      </c>
      <c r="J56" s="43">
        <f t="shared" si="39"/>
        <v>30071.12111683331</v>
      </c>
      <c r="K56" s="35">
        <f t="shared" si="4"/>
        <v>0.24343454734850045</v>
      </c>
    </row>
    <row r="57" spans="1:11" x14ac:dyDescent="0.25">
      <c r="A57" s="9" t="s">
        <v>51</v>
      </c>
      <c r="B57" s="17">
        <f>26916.18</f>
        <v>26916.18</v>
      </c>
      <c r="C57" s="17">
        <f>B57</f>
        <v>26916.18</v>
      </c>
      <c r="D57" s="17">
        <f t="shared" si="48"/>
        <v>0</v>
      </c>
      <c r="E57" s="46">
        <f t="shared" si="49"/>
        <v>0</v>
      </c>
      <c r="F57" s="17">
        <f>230004</f>
        <v>230004</v>
      </c>
      <c r="G57" s="16"/>
      <c r="I57" s="54">
        <f>C57+(C57*$N$30)</f>
        <v>28261.989000000001</v>
      </c>
      <c r="J57" s="36">
        <f t="shared" si="39"/>
        <v>1345.8090000000011</v>
      </c>
      <c r="K57" s="35">
        <f t="shared" si="4"/>
        <v>5.0000000000000037E-2</v>
      </c>
    </row>
    <row r="58" spans="1:11" x14ac:dyDescent="0.25">
      <c r="A58" s="9" t="s">
        <v>52</v>
      </c>
      <c r="B58" s="17">
        <f>111486.13</f>
        <v>111486.13</v>
      </c>
      <c r="C58" s="17">
        <f t="shared" ref="C58:C60" si="50">B58</f>
        <v>111486.13</v>
      </c>
      <c r="D58" s="17">
        <f t="shared" si="48"/>
        <v>0</v>
      </c>
      <c r="E58" s="46">
        <f t="shared" si="49"/>
        <v>0</v>
      </c>
      <c r="F58" s="16"/>
      <c r="G58" s="17">
        <f>60057.69</f>
        <v>60057.69</v>
      </c>
      <c r="I58" s="54">
        <f>C58+(C58*$N$30)</f>
        <v>117060.43650000001</v>
      </c>
      <c r="J58" s="36">
        <f t="shared" si="39"/>
        <v>5574.3065000000061</v>
      </c>
      <c r="K58" s="35">
        <f t="shared" si="4"/>
        <v>5.0000000000000051E-2</v>
      </c>
    </row>
    <row r="59" spans="1:11" x14ac:dyDescent="0.25">
      <c r="A59" s="9" t="s">
        <v>53</v>
      </c>
      <c r="B59" s="17">
        <f>75591.71</f>
        <v>75591.710000000006</v>
      </c>
      <c r="C59" s="17">
        <f t="shared" si="50"/>
        <v>75591.710000000006</v>
      </c>
      <c r="D59" s="17">
        <f t="shared" si="48"/>
        <v>0</v>
      </c>
      <c r="E59" s="46">
        <f t="shared" si="49"/>
        <v>0</v>
      </c>
      <c r="F59" s="16"/>
      <c r="G59" s="17">
        <f>49059.98</f>
        <v>49059.98</v>
      </c>
      <c r="I59" s="54">
        <f>C59+(C59*$N$30)</f>
        <v>79371.295500000007</v>
      </c>
      <c r="J59" s="36">
        <f t="shared" si="39"/>
        <v>3779.585500000001</v>
      </c>
      <c r="K59" s="35">
        <f t="shared" si="4"/>
        <v>5.000000000000001E-2</v>
      </c>
    </row>
    <row r="60" spans="1:11" x14ac:dyDescent="0.25">
      <c r="A60" s="9" t="s">
        <v>54</v>
      </c>
      <c r="B60" s="17">
        <f>49660.74</f>
        <v>49660.74</v>
      </c>
      <c r="C60" s="17">
        <f t="shared" si="50"/>
        <v>49660.74</v>
      </c>
      <c r="D60" s="17">
        <f t="shared" si="48"/>
        <v>0</v>
      </c>
      <c r="E60" s="46">
        <f t="shared" si="49"/>
        <v>0</v>
      </c>
      <c r="F60" s="16"/>
      <c r="G60" s="26">
        <f>128371.82</f>
        <v>128371.82</v>
      </c>
      <c r="I60" s="54">
        <f>C60+(C60*$N$30)</f>
        <v>52143.777000000002</v>
      </c>
      <c r="J60" s="36">
        <f t="shared" si="39"/>
        <v>2483.0370000000039</v>
      </c>
      <c r="K60" s="35">
        <f t="shared" si="4"/>
        <v>5.0000000000000079E-2</v>
      </c>
    </row>
    <row r="61" spans="1:11" x14ac:dyDescent="0.25">
      <c r="A61" s="8" t="s">
        <v>55</v>
      </c>
      <c r="B61" s="18">
        <f>(((B57)+(B58))+(B59))+(B60)</f>
        <v>263654.76</v>
      </c>
      <c r="C61" s="18">
        <f t="shared" ref="C61:I61" si="51">(((C57)+(C58))+(C59))+(C60)</f>
        <v>263654.76</v>
      </c>
      <c r="D61" s="19">
        <f t="shared" ref="D61:D62" si="52">C61-B61</f>
        <v>0</v>
      </c>
      <c r="E61" s="47">
        <f t="shared" ref="E61:E62" si="53">(C61-B61)/B61</f>
        <v>0</v>
      </c>
      <c r="F61" s="18">
        <f t="shared" si="51"/>
        <v>230004</v>
      </c>
      <c r="G61" s="18">
        <f t="shared" si="51"/>
        <v>237489.49000000002</v>
      </c>
      <c r="H61" s="18">
        <f t="shared" si="51"/>
        <v>0</v>
      </c>
      <c r="I61" s="56">
        <f t="shared" si="51"/>
        <v>276837.49800000002</v>
      </c>
      <c r="J61" s="43">
        <f t="shared" si="39"/>
        <v>13182.738000000012</v>
      </c>
      <c r="K61" s="35">
        <f t="shared" si="4"/>
        <v>5.0000000000000044E-2</v>
      </c>
    </row>
    <row r="62" spans="1:11" x14ac:dyDescent="0.25">
      <c r="A62" s="9" t="s">
        <v>56</v>
      </c>
      <c r="B62" s="17">
        <f>43583.81</f>
        <v>43583.81</v>
      </c>
      <c r="C62" s="17">
        <f t="shared" ref="C62" si="54">B62+(B62*$N$9)</f>
        <v>50847.778333333328</v>
      </c>
      <c r="D62" s="17">
        <f t="shared" si="52"/>
        <v>7263.9683333333305</v>
      </c>
      <c r="E62" s="46">
        <f t="shared" si="53"/>
        <v>0.1666666666666666</v>
      </c>
      <c r="F62" s="17">
        <f>90000</f>
        <v>90000</v>
      </c>
      <c r="G62" s="17">
        <f>77174.37</f>
        <v>77174.37</v>
      </c>
      <c r="H62" s="12"/>
      <c r="I62" s="54">
        <f>C62</f>
        <v>50847.778333333328</v>
      </c>
      <c r="J62" s="36">
        <f t="shared" si="39"/>
        <v>0</v>
      </c>
      <c r="K62" s="35">
        <f t="shared" si="4"/>
        <v>0</v>
      </c>
    </row>
    <row r="63" spans="1:11" x14ac:dyDescent="0.25">
      <c r="A63" s="9" t="s">
        <v>67</v>
      </c>
      <c r="B63" s="17"/>
      <c r="C63" s="17"/>
      <c r="D63" s="17"/>
      <c r="E63" s="17"/>
      <c r="F63" s="17"/>
      <c r="G63" s="17">
        <v>13643.92</v>
      </c>
      <c r="H63" s="12"/>
      <c r="I63" s="54"/>
      <c r="J63" s="36">
        <f t="shared" si="39"/>
        <v>0</v>
      </c>
      <c r="K63" s="35"/>
    </row>
    <row r="64" spans="1:11" ht="18.75" x14ac:dyDescent="0.3">
      <c r="A64" s="11" t="s">
        <v>57</v>
      </c>
      <c r="B64" s="27">
        <f>((((((((B29)+(B33))+(B34))+(B40))+(B46))+(B52))+(B56))+(B61))+(B62)</f>
        <v>1932818.61</v>
      </c>
      <c r="C64" s="27">
        <f t="shared" ref="C64:I64" si="55">((((((((C29)+(C33))+(C34))+(C40))+(C46))+(C52))+(C56))+(C61))+(C62)</f>
        <v>2483216.0049999999</v>
      </c>
      <c r="D64" s="28">
        <f t="shared" ref="D64" si="56">C64-B64</f>
        <v>550397.39499999979</v>
      </c>
      <c r="E64" s="48">
        <f t="shared" ref="E64" si="57">(C64-B64)/B64</f>
        <v>0.2847641222783962</v>
      </c>
      <c r="F64" s="27">
        <f t="shared" si="55"/>
        <v>2516022</v>
      </c>
      <c r="G64" s="27">
        <f t="shared" si="55"/>
        <v>2835944.4000000004</v>
      </c>
      <c r="H64" s="27">
        <f t="shared" si="55"/>
        <v>0</v>
      </c>
      <c r="I64" s="58">
        <f t="shared" si="55"/>
        <v>2611742.1521928334</v>
      </c>
      <c r="J64" s="45">
        <f t="shared" si="39"/>
        <v>128526.14719283348</v>
      </c>
      <c r="K64" s="35">
        <f t="shared" si="4"/>
        <v>5.1757940885546722E-2</v>
      </c>
    </row>
    <row r="65" spans="1:16" ht="18.75" x14ac:dyDescent="0.3">
      <c r="A65" s="11" t="s">
        <v>58</v>
      </c>
      <c r="B65" s="27">
        <f>(B22)-(B64)</f>
        <v>730555.99</v>
      </c>
      <c r="C65" s="27">
        <f t="shared" ref="C65:I65" si="58">(C22)-(C64)</f>
        <v>180158.5950000002</v>
      </c>
      <c r="D65" s="28">
        <f t="shared" ref="D65" si="59">C65-B65</f>
        <v>-550397.39499999979</v>
      </c>
      <c r="E65" s="48">
        <f t="shared" ref="E65" si="60">(C65-B65)/B65</f>
        <v>-0.75339522573759166</v>
      </c>
      <c r="F65" s="27">
        <f t="shared" si="58"/>
        <v>198974</v>
      </c>
      <c r="G65" s="27">
        <f t="shared" si="58"/>
        <v>-229511.45000000019</v>
      </c>
      <c r="H65" s="27">
        <f t="shared" si="58"/>
        <v>0</v>
      </c>
      <c r="I65" s="58">
        <f t="shared" si="58"/>
        <v>84631.627807166427</v>
      </c>
      <c r="J65" s="45">
        <f t="shared" si="39"/>
        <v>-95526.967192833778</v>
      </c>
      <c r="K65" s="35">
        <f t="shared" si="4"/>
        <v>-0.53023818926226451</v>
      </c>
      <c r="M65" s="7"/>
      <c r="N65" s="7"/>
      <c r="O65" s="7"/>
      <c r="P65" s="17">
        <f t="shared" ref="P65:P74" si="61">(F45)-(B45)</f>
        <v>111439.1</v>
      </c>
    </row>
    <row r="66" spans="1:16" x14ac:dyDescent="0.25">
      <c r="A66" s="8" t="s">
        <v>59</v>
      </c>
      <c r="B66" s="16"/>
      <c r="C66" s="16"/>
      <c r="D66" s="16"/>
      <c r="E66" s="16"/>
      <c r="F66" s="16"/>
      <c r="G66" s="20"/>
      <c r="I66" s="54"/>
      <c r="J66" s="36">
        <f t="shared" si="39"/>
        <v>0</v>
      </c>
      <c r="K66" s="35"/>
      <c r="M66" s="7"/>
      <c r="N66" s="7"/>
      <c r="O66" s="7"/>
      <c r="P66" s="18">
        <f t="shared" si="61"/>
        <v>-57045.900000000023</v>
      </c>
    </row>
    <row r="67" spans="1:16" x14ac:dyDescent="0.25">
      <c r="A67" s="9" t="s">
        <v>60</v>
      </c>
      <c r="B67" s="16"/>
      <c r="C67" s="16"/>
      <c r="D67" s="16"/>
      <c r="E67" s="16"/>
      <c r="F67" s="17">
        <f>7000</f>
        <v>7000</v>
      </c>
      <c r="G67" s="17">
        <f>0</f>
        <v>0</v>
      </c>
      <c r="I67" s="54"/>
      <c r="J67" s="36">
        <f t="shared" si="39"/>
        <v>0</v>
      </c>
      <c r="K67" s="35"/>
      <c r="M67" s="7"/>
      <c r="O67" s="7"/>
      <c r="P67" s="17">
        <f t="shared" si="61"/>
        <v>374175</v>
      </c>
    </row>
    <row r="68" spans="1:16" x14ac:dyDescent="0.25">
      <c r="A68" s="9" t="s">
        <v>61</v>
      </c>
      <c r="B68" s="17">
        <f>18396.15</f>
        <v>18396.150000000001</v>
      </c>
      <c r="C68" s="17">
        <f t="shared" ref="C68" si="62">B68+(B68*$N$9)</f>
        <v>21462.175000000003</v>
      </c>
      <c r="D68" s="17">
        <f t="shared" ref="D68" si="63">C68-B68</f>
        <v>3066.0250000000015</v>
      </c>
      <c r="E68" s="46">
        <f t="shared" ref="E68" si="64">(C68-B68)/B68</f>
        <v>0.16666666666666674</v>
      </c>
      <c r="F68" s="16"/>
      <c r="G68" s="17">
        <v>8843.09</v>
      </c>
      <c r="I68" s="54">
        <v>40000</v>
      </c>
      <c r="J68" s="36">
        <f t="shared" si="39"/>
        <v>18537.824999999997</v>
      </c>
      <c r="K68" s="35">
        <f t="shared" si="4"/>
        <v>0.86374400544213226</v>
      </c>
      <c r="M68" s="7"/>
      <c r="N68" s="7"/>
      <c r="O68" s="7"/>
      <c r="P68" s="17">
        <f t="shared" si="61"/>
        <v>-304565.63</v>
      </c>
    </row>
    <row r="69" spans="1:16" x14ac:dyDescent="0.25">
      <c r="A69" s="9" t="s">
        <v>68</v>
      </c>
      <c r="B69" s="17"/>
      <c r="C69" s="17"/>
      <c r="D69" s="17"/>
      <c r="E69" s="17"/>
      <c r="F69" s="16"/>
      <c r="G69" s="17">
        <v>5153.8</v>
      </c>
      <c r="I69" s="54"/>
      <c r="J69" s="36">
        <f t="shared" si="39"/>
        <v>0</v>
      </c>
      <c r="K69" s="35"/>
      <c r="M69" s="7"/>
      <c r="N69" s="7"/>
      <c r="O69" s="7"/>
      <c r="P69" s="17">
        <f t="shared" si="61"/>
        <v>-12944.42</v>
      </c>
    </row>
    <row r="70" spans="1:16" ht="15.75" customHeight="1" x14ac:dyDescent="0.25">
      <c r="A70" s="9" t="s">
        <v>71</v>
      </c>
      <c r="B70" s="17"/>
      <c r="C70" s="17"/>
      <c r="D70" s="17"/>
      <c r="E70" s="17"/>
      <c r="F70" s="16"/>
      <c r="G70" s="17">
        <v>-18240.86</v>
      </c>
      <c r="I70" s="54"/>
      <c r="J70" s="36">
        <f t="shared" si="39"/>
        <v>0</v>
      </c>
      <c r="K70" s="35"/>
      <c r="M70" s="7"/>
      <c r="N70" s="7"/>
      <c r="O70" s="7"/>
      <c r="P70" s="17">
        <f t="shared" si="61"/>
        <v>-7140</v>
      </c>
    </row>
    <row r="71" spans="1:16" ht="15.75" customHeight="1" x14ac:dyDescent="0.25">
      <c r="A71" s="15" t="s">
        <v>72</v>
      </c>
      <c r="B71" s="18">
        <f>(B67)+(B68)</f>
        <v>18396.150000000001</v>
      </c>
      <c r="C71" s="18">
        <f t="shared" ref="C71:I71" si="65">(C67)+(C68)</f>
        <v>21462.175000000003</v>
      </c>
      <c r="D71" s="19">
        <f t="shared" ref="D71:D72" si="66">C71-B71</f>
        <v>3066.0250000000015</v>
      </c>
      <c r="E71" s="47">
        <f t="shared" ref="E71:E72" si="67">(C71-B71)/B71</f>
        <v>0.16666666666666674</v>
      </c>
      <c r="F71" s="18">
        <f t="shared" si="65"/>
        <v>7000</v>
      </c>
      <c r="G71" s="29">
        <f t="shared" si="65"/>
        <v>8843.09</v>
      </c>
      <c r="H71" s="29">
        <f t="shared" si="65"/>
        <v>0</v>
      </c>
      <c r="I71" s="59">
        <f t="shared" si="65"/>
        <v>40000</v>
      </c>
      <c r="J71" s="42">
        <f t="shared" si="39"/>
        <v>18537.824999999997</v>
      </c>
      <c r="K71" s="35">
        <f t="shared" si="4"/>
        <v>0.86374400544213226</v>
      </c>
      <c r="M71" s="7"/>
      <c r="N71" s="7"/>
      <c r="O71" s="7"/>
      <c r="P71" s="17">
        <f t="shared" si="61"/>
        <v>-19351.25</v>
      </c>
    </row>
    <row r="72" spans="1:16" ht="15.75" customHeight="1" x14ac:dyDescent="0.25">
      <c r="A72" s="9" t="s">
        <v>62</v>
      </c>
      <c r="B72" s="39">
        <f>B71</f>
        <v>18396.150000000001</v>
      </c>
      <c r="C72" s="40"/>
      <c r="D72" s="17">
        <f t="shared" si="66"/>
        <v>-18396.150000000001</v>
      </c>
      <c r="E72" s="46">
        <f t="shared" si="67"/>
        <v>-1</v>
      </c>
      <c r="F72" s="39">
        <f>F71</f>
        <v>7000</v>
      </c>
      <c r="G72" s="16">
        <f>G71</f>
        <v>8843.09</v>
      </c>
      <c r="I72" s="60">
        <f>I71</f>
        <v>40000</v>
      </c>
      <c r="J72" s="36">
        <f t="shared" si="39"/>
        <v>40000</v>
      </c>
      <c r="K72" s="35"/>
      <c r="M72" s="7"/>
      <c r="N72" s="7"/>
      <c r="O72" s="7"/>
      <c r="P72" s="18">
        <f t="shared" si="61"/>
        <v>30173.700000000012</v>
      </c>
    </row>
    <row r="73" spans="1:16" ht="15.75" customHeight="1" x14ac:dyDescent="0.25">
      <c r="A73" s="8" t="s">
        <v>63</v>
      </c>
      <c r="B73" s="18">
        <f>(B72)-(0)</f>
        <v>18396.150000000001</v>
      </c>
      <c r="C73" s="18">
        <f t="shared" ref="C73:I73" si="68">(C72)-(0)</f>
        <v>0</v>
      </c>
      <c r="D73" s="19">
        <f t="shared" ref="D73" si="69">C73-B73</f>
        <v>-18396.150000000001</v>
      </c>
      <c r="E73" s="47">
        <f t="shared" ref="E73" si="70">(C73-B73)/B73</f>
        <v>-1</v>
      </c>
      <c r="F73" s="18">
        <f t="shared" si="68"/>
        <v>7000</v>
      </c>
      <c r="G73" s="18">
        <f t="shared" si="68"/>
        <v>8843.09</v>
      </c>
      <c r="H73" s="18">
        <f t="shared" si="68"/>
        <v>0</v>
      </c>
      <c r="I73" s="56">
        <f t="shared" si="68"/>
        <v>40000</v>
      </c>
      <c r="J73" s="42">
        <f t="shared" si="39"/>
        <v>40000</v>
      </c>
      <c r="K73" s="35"/>
      <c r="M73" s="7"/>
      <c r="N73" s="7"/>
      <c r="O73" s="7"/>
      <c r="P73" s="17">
        <f t="shared" si="61"/>
        <v>-2815.12</v>
      </c>
    </row>
    <row r="74" spans="1:16" ht="15.75" customHeight="1" x14ac:dyDescent="0.25">
      <c r="A74" s="9"/>
      <c r="B74" s="19"/>
      <c r="C74" s="19"/>
      <c r="D74" s="19"/>
      <c r="E74" s="19"/>
      <c r="F74" s="19"/>
      <c r="G74" s="16"/>
      <c r="I74" s="54"/>
      <c r="J74" s="38">
        <f t="shared" si="39"/>
        <v>0</v>
      </c>
      <c r="K74" s="35"/>
      <c r="M74" s="7"/>
      <c r="N74" s="7"/>
      <c r="O74" s="7"/>
      <c r="P74" s="17">
        <f t="shared" si="61"/>
        <v>-37981.19</v>
      </c>
    </row>
    <row r="75" spans="1:16" ht="18.75" x14ac:dyDescent="0.3">
      <c r="A75" s="11" t="s">
        <v>64</v>
      </c>
      <c r="B75" s="28">
        <f>(B65)+(B73)</f>
        <v>748952.14</v>
      </c>
      <c r="C75" s="28">
        <f t="shared" ref="C75:I75" si="71">(C65)+(C73)</f>
        <v>180158.5950000002</v>
      </c>
      <c r="D75" s="28">
        <f t="shared" ref="D75" si="72">C75-B75</f>
        <v>-568793.54499999981</v>
      </c>
      <c r="E75" s="48">
        <f t="shared" ref="E75" si="73">(C75-B75)/B75</f>
        <v>-0.75945245980604292</v>
      </c>
      <c r="F75" s="28">
        <f t="shared" si="71"/>
        <v>205974</v>
      </c>
      <c r="G75" s="28">
        <f t="shared" si="71"/>
        <v>-220668.36000000019</v>
      </c>
      <c r="H75" s="28">
        <f t="shared" si="71"/>
        <v>0</v>
      </c>
      <c r="I75" s="61">
        <f t="shared" si="71"/>
        <v>124631.62780716643</v>
      </c>
      <c r="J75" s="44">
        <f t="shared" si="39"/>
        <v>-55526.967192833778</v>
      </c>
      <c r="K75" s="35">
        <f t="shared" ref="K75" si="74">J75/C75</f>
        <v>-0.30821159097534989</v>
      </c>
      <c r="M75" s="7"/>
      <c r="N75" s="7"/>
      <c r="O75" s="7"/>
      <c r="P75" s="19">
        <f>(F75)-(B75)</f>
        <v>-542978.14</v>
      </c>
    </row>
    <row r="76" spans="1:16" x14ac:dyDescent="0.25">
      <c r="A76" s="2"/>
      <c r="B76" s="3"/>
      <c r="C76" s="3"/>
      <c r="D76" s="3"/>
      <c r="E76" s="3"/>
      <c r="F76" s="3"/>
      <c r="G76" s="6"/>
      <c r="M76" s="7"/>
      <c r="N76" s="7"/>
      <c r="O76" s="7"/>
    </row>
    <row r="77" spans="1:16" x14ac:dyDescent="0.25">
      <c r="G77" s="4"/>
      <c r="M77" s="7"/>
      <c r="N77" s="7"/>
      <c r="O77" s="7"/>
    </row>
    <row r="78" spans="1:16" x14ac:dyDescent="0.25">
      <c r="G78" s="5"/>
      <c r="M78" s="7"/>
      <c r="N78" s="7"/>
      <c r="O78" s="7"/>
    </row>
    <row r="79" spans="1:16" x14ac:dyDescent="0.25">
      <c r="G79" s="5"/>
      <c r="M79" s="7"/>
      <c r="N79" s="7"/>
      <c r="O79" s="7"/>
    </row>
  </sheetData>
  <mergeCells count="3">
    <mergeCell ref="A1:F1"/>
    <mergeCell ref="A2:F2"/>
    <mergeCell ref="A3:F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4e4fdc0-b760-4707-93c5-3416fdc3b596" xsi:nil="true"/>
    <lcf76f155ced4ddcb4097134ff3c332f xmlns="80579599-3ee1-434b-80d9-966500df6f60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F0C6BFC18E184BB8D5237132025082" ma:contentTypeVersion="16" ma:contentTypeDescription="Create a new document." ma:contentTypeScope="" ma:versionID="31fc560264ac8e21aa352b25ed7ea4f9">
  <xsd:schema xmlns:xsd="http://www.w3.org/2001/XMLSchema" xmlns:xs="http://www.w3.org/2001/XMLSchema" xmlns:p="http://schemas.microsoft.com/office/2006/metadata/properties" xmlns:ns2="80579599-3ee1-434b-80d9-966500df6f60" xmlns:ns3="44e4fdc0-b760-4707-93c5-3416fdc3b596" targetNamespace="http://schemas.microsoft.com/office/2006/metadata/properties" ma:root="true" ma:fieldsID="23063e8a20fe1e45ba66696cb68aed61" ns2:_="" ns3:_="">
    <xsd:import namespace="80579599-3ee1-434b-80d9-966500df6f60"/>
    <xsd:import namespace="44e4fdc0-b760-4707-93c5-3416fdc3b5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579599-3ee1-434b-80d9-966500df6f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15d1157b-d09c-4f73-897c-58371665fbd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e4fdc0-b760-4707-93c5-3416fdc3b596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81a8ece8-6cee-423a-87ca-d61b46a05a18}" ma:internalName="TaxCatchAll" ma:showField="CatchAllData" ma:web="44e4fdc0-b760-4707-93c5-3416fdc3b59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1CE10C0-A2C4-4742-93E3-85B21B702429}">
  <ds:schemaRefs>
    <ds:schemaRef ds:uri="http://schemas.microsoft.com/office/2006/metadata/properties"/>
    <ds:schemaRef ds:uri="http://schemas.microsoft.com/office/infopath/2007/PartnerControls"/>
    <ds:schemaRef ds:uri="44e4fdc0-b760-4707-93c5-3416fdc3b596"/>
    <ds:schemaRef ds:uri="80579599-3ee1-434b-80d9-966500df6f60"/>
  </ds:schemaRefs>
</ds:datastoreItem>
</file>

<file path=customXml/itemProps2.xml><?xml version="1.0" encoding="utf-8"?>
<ds:datastoreItem xmlns:ds="http://schemas.openxmlformats.org/officeDocument/2006/customXml" ds:itemID="{34FE798A-3237-431B-8E02-2FB14DE97CE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C7E135B-FBDF-40F0-9487-5444297045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579599-3ee1-434b-80d9-966500df6f60"/>
    <ds:schemaRef ds:uri="44e4fdc0-b760-4707-93c5-3416fdc3b5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vs. Actuals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Jaime Korczak</cp:lastModifiedBy>
  <dcterms:created xsi:type="dcterms:W3CDTF">2023-11-06T18:57:36Z</dcterms:created>
  <dcterms:modified xsi:type="dcterms:W3CDTF">2023-11-15T21:51:43Z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0x0101008FF0C6BFC18E184BB8D5237132025082</vt:lpwstr>
  </property>
  <property fmtid="{D5CDD505-2E9C-101B-9397-08002B2CF9AE}" pid="3" name="MediaServiceImageTags">
    <vt:lpwstr/>
  </property>
</Properties>
</file>